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https://alliander-my.sharepoint.com/personal/sahar_malakouti_alliander_com/Documents/Documents/Index overdracht/Indexatie 2026-1/Vervuilde grond/"/>
    </mc:Choice>
  </mc:AlternateContent>
  <xr:revisionPtr revIDLastSave="0" documentId="8_{5FB32F5B-7CAB-4B8E-A922-7433F06A137C}" xr6:coauthVersionLast="47" xr6:coauthVersionMax="47" xr10:uidLastSave="{00000000-0000-0000-0000-000000000000}"/>
  <bookViews>
    <workbookView xWindow="-105" yWindow="0" windowWidth="26010" windowHeight="20985" tabRatio="830" activeTab="9" xr2:uid="{00000000-000D-0000-FFFF-FFFF00000000}"/>
  </bookViews>
  <sheets>
    <sheet name="Handleiding" sheetId="48" r:id="rId1"/>
    <sheet name="Invul- en verrekenblad" sheetId="10" r:id="rId2"/>
    <sheet name="Variabelen" sheetId="11" r:id="rId3"/>
    <sheet name="Alleen MBA Graven TU" sheetId="36" r:id="rId4"/>
    <sheet name="Oranje N-VL" sheetId="35" r:id="rId5"/>
    <sheet name="Oranje VL" sheetId="37" r:id="rId6"/>
    <sheet name="Rood N-VL" sheetId="38" r:id="rId7"/>
    <sheet name="Rood VL" sheetId="39" r:id="rId8"/>
    <sheet name="Zwart N-VL" sheetId="40" r:id="rId9"/>
    <sheet name="Zwart VL" sheetId="41" r:id="rId10"/>
    <sheet name="Gegevensblad" sheetId="34" r:id="rId11"/>
    <sheet name="Revisiebeheer" sheetId="33" r:id="rId12"/>
    <sheet name="Kostenverdeling combi" sheetId="16" state="hidden" r:id="rId13"/>
  </sheets>
  <definedNames>
    <definedName name="_xlnm._FilterDatabase" localSheetId="3" hidden="1">'Alleen MBA Graven TU'!$D$9:$J$66</definedName>
    <definedName name="_xlnm._FilterDatabase" localSheetId="10" hidden="1">Gegevensblad!$A$8:$N$8</definedName>
    <definedName name="_xlnm._FilterDatabase" localSheetId="4" hidden="1">'Oranje N-VL'!$A$8:$N$8</definedName>
    <definedName name="_xlnm._FilterDatabase" localSheetId="5" hidden="1">'Oranje VL'!$A$8:$N$8</definedName>
    <definedName name="_xlnm._FilterDatabase" localSheetId="11" hidden="1">Revisiebeheer!$A$3:$F$3</definedName>
    <definedName name="_xlnm._FilterDatabase" localSheetId="6" hidden="1">'Rood N-VL'!$A$8:$N$8</definedName>
    <definedName name="_xlnm._FilterDatabase" localSheetId="7" hidden="1">'Rood VL'!$A$8:$N$8</definedName>
    <definedName name="_xlnm._FilterDatabase" localSheetId="8" hidden="1">'Zwart N-VL'!$A$8:$N$8</definedName>
    <definedName name="_xlnm._FilterDatabase" localSheetId="9" hidden="1">'Zwart VL'!$A$8:$N$8</definedName>
    <definedName name="_xlnm.Print_Area" localSheetId="1">'Invul- en verrekenblad'!$A$1:$G$22</definedName>
    <definedName name="_xlnm.Print_Area" localSheetId="12">'Kostenverdeling combi'!$A$7:$V$46</definedName>
    <definedName name="PR_NAME_TEXT" localSheetId="3">#REF!</definedName>
    <definedName name="PR_NAME_TEXT" localSheetId="10">#REF!</definedName>
    <definedName name="PR_NAME_TEXT" localSheetId="1">'Invul- en verrekenblad'!$B$7</definedName>
    <definedName name="PR_NAME_TEXT" localSheetId="4">#REF!</definedName>
    <definedName name="PR_NAME_TEXT" localSheetId="5">#REF!</definedName>
    <definedName name="PR_NAME_TEXT" localSheetId="6">#REF!</definedName>
    <definedName name="PR_NAME_TEXT" localSheetId="7">#REF!</definedName>
    <definedName name="PR_NAME_TEXT" localSheetId="8">#REF!</definedName>
    <definedName name="PR_NAME_TEXT" localSheetId="9">#REF!</definedName>
    <definedName name="PR_NAME_TEXT">#REF!</definedName>
    <definedName name="PS_REFERENCE" localSheetId="3">#REF!</definedName>
    <definedName name="PS_REFERENCE" localSheetId="10">#REF!</definedName>
    <definedName name="PS_REFERENCE" localSheetId="1">'Invul- en verrekenblad'!#REF!</definedName>
    <definedName name="PS_REFERENCE" localSheetId="4">#REF!</definedName>
    <definedName name="PS_REFERENCE" localSheetId="5">#REF!</definedName>
    <definedName name="PS_REFERENCE" localSheetId="6">#REF!</definedName>
    <definedName name="PS_REFERENCE" localSheetId="7">#REF!</definedName>
    <definedName name="PS_REFERENCE" localSheetId="8">#REF!</definedName>
    <definedName name="PS_REFERENCE" localSheetId="9">#REF!</definedName>
    <definedName name="PS_REFERENCE">#REF!</definedName>
    <definedName name="PS_SUBJECT" localSheetId="3">#REF!</definedName>
    <definedName name="PS_SUBJECT" localSheetId="10">#REF!</definedName>
    <definedName name="PS_SUBJECT" localSheetId="1">'Invul- en verrekenblad'!$B$4</definedName>
    <definedName name="PS_SUBJECT" localSheetId="4">#REF!</definedName>
    <definedName name="PS_SUBJECT" localSheetId="5">#REF!</definedName>
    <definedName name="PS_SUBJECT" localSheetId="6">#REF!</definedName>
    <definedName name="PS_SUBJECT" localSheetId="7">#REF!</definedName>
    <definedName name="PS_SUBJECT" localSheetId="8">#REF!</definedName>
    <definedName name="PS_SUBJECT" localSheetId="9">#REF!</definedName>
    <definedName name="PS_SUBJECT">#REF!</definedName>
    <definedName name="Z_90B01E6D_9DDC_4E35_A844_BDC6F84EF23D_.wvu.PrintArea" localSheetId="1" hidden="1">'Invul- en verrekenblad'!$A$1:$G$22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6" i="38" l="1"/>
  <c r="K35" i="38"/>
  <c r="K65" i="41"/>
  <c r="E6" i="10" l="1"/>
  <c r="E5" i="10"/>
  <c r="M60" i="39"/>
  <c r="M59" i="39"/>
  <c r="M54" i="39"/>
  <c r="M49" i="39"/>
  <c r="M33" i="39"/>
  <c r="M32" i="39"/>
  <c r="M31" i="39"/>
  <c r="M60" i="41"/>
  <c r="M59" i="41"/>
  <c r="M55" i="41"/>
  <c r="M54" i="41"/>
  <c r="M49" i="41"/>
  <c r="M47" i="41"/>
  <c r="M33" i="41"/>
  <c r="M32" i="41"/>
  <c r="M31" i="41"/>
  <c r="M26" i="41"/>
  <c r="M60" i="40"/>
  <c r="M59" i="40"/>
  <c r="M54" i="40"/>
  <c r="M49" i="40"/>
  <c r="M26" i="40"/>
  <c r="M47" i="39"/>
  <c r="M47" i="38"/>
  <c r="M47" i="37"/>
  <c r="M47" i="35"/>
  <c r="M26" i="39"/>
  <c r="M59" i="36"/>
  <c r="M58" i="36"/>
  <c r="M42" i="36"/>
  <c r="M60" i="38"/>
  <c r="M59" i="38"/>
  <c r="M55" i="38"/>
  <c r="M54" i="38"/>
  <c r="M49" i="38"/>
  <c r="M33" i="38"/>
  <c r="M32" i="38"/>
  <c r="M31" i="38"/>
  <c r="M26" i="38"/>
  <c r="M60" i="37"/>
  <c r="M59" i="37"/>
  <c r="M55" i="37"/>
  <c r="M54" i="37"/>
  <c r="M49" i="37"/>
  <c r="M33" i="37"/>
  <c r="M32" i="37"/>
  <c r="M31" i="37"/>
  <c r="M26" i="37"/>
  <c r="M60" i="35"/>
  <c r="M59" i="35"/>
  <c r="M55" i="35"/>
  <c r="M49" i="35"/>
  <c r="M33" i="35"/>
  <c r="M31" i="35"/>
  <c r="M26" i="35"/>
  <c r="M32" i="35"/>
  <c r="M54" i="35"/>
  <c r="Q25" i="34"/>
  <c r="R25" i="34"/>
  <c r="K39" i="36" l="1"/>
  <c r="K40" i="36" l="1"/>
  <c r="K41" i="36" l="1"/>
  <c r="Q10" i="34"/>
  <c r="R10" i="34" s="1"/>
  <c r="Q61" i="34" l="1"/>
  <c r="Q60" i="34"/>
  <c r="R60" i="34" s="1"/>
  <c r="Q56" i="34"/>
  <c r="R56" i="34" s="1"/>
  <c r="Q55" i="34"/>
  <c r="Q50" i="34"/>
  <c r="Q48" i="34"/>
  <c r="R48" i="34" s="1"/>
  <c r="Q44" i="34"/>
  <c r="R44" i="34"/>
  <c r="Q33" i="34"/>
  <c r="Q32" i="34"/>
  <c r="R32" i="34" s="1"/>
  <c r="Q31" i="34"/>
  <c r="R19" i="34"/>
  <c r="R27" i="34"/>
  <c r="R30" i="34"/>
  <c r="R33" i="34"/>
  <c r="R34" i="34"/>
  <c r="R45" i="34"/>
  <c r="R50" i="34"/>
  <c r="R52" i="34"/>
  <c r="R55" i="34"/>
  <c r="R57" i="34"/>
  <c r="R61" i="34"/>
  <c r="R65" i="34"/>
  <c r="Q28" i="34"/>
  <c r="R28" i="34" s="1"/>
  <c r="Q26" i="34"/>
  <c r="R26" i="34" s="1"/>
  <c r="Q11" i="34"/>
  <c r="R11" i="34" s="1"/>
  <c r="Q12" i="34"/>
  <c r="R12" i="34" s="1"/>
  <c r="Q13" i="34"/>
  <c r="R13" i="34" s="1"/>
  <c r="Q14" i="34"/>
  <c r="R14" i="34" s="1"/>
  <c r="Q15" i="34"/>
  <c r="R15" i="34" s="1"/>
  <c r="Q16" i="34"/>
  <c r="R16" i="34" s="1"/>
  <c r="Q17" i="34"/>
  <c r="R17" i="34" s="1"/>
  <c r="Q18" i="34"/>
  <c r="R18" i="34" s="1"/>
  <c r="Q20" i="34"/>
  <c r="R20" i="34" s="1"/>
  <c r="Q21" i="34"/>
  <c r="R21" i="34" s="1"/>
  <c r="Q22" i="34"/>
  <c r="R22" i="34" s="1"/>
  <c r="Q23" i="34"/>
  <c r="R23" i="34" s="1"/>
  <c r="Q24" i="34"/>
  <c r="R24" i="34" s="1"/>
  <c r="Q29" i="34"/>
  <c r="R29" i="34" s="1"/>
  <c r="R31" i="34"/>
  <c r="Q35" i="34"/>
  <c r="R35" i="34" s="1"/>
  <c r="Q36" i="34"/>
  <c r="R36" i="34" s="1"/>
  <c r="Q37" i="34"/>
  <c r="R37" i="34" s="1"/>
  <c r="Q38" i="34"/>
  <c r="R38" i="34" s="1"/>
  <c r="Q39" i="34"/>
  <c r="R39" i="34" s="1"/>
  <c r="Q40" i="34"/>
  <c r="R40" i="34" s="1"/>
  <c r="Q41" i="34"/>
  <c r="R41" i="34" s="1"/>
  <c r="Q42" i="34"/>
  <c r="R42" i="34" s="1"/>
  <c r="Q43" i="34"/>
  <c r="R43" i="34" s="1"/>
  <c r="Q46" i="34"/>
  <c r="R46" i="34" s="1"/>
  <c r="Q47" i="34"/>
  <c r="R47" i="34" s="1"/>
  <c r="Q49" i="34"/>
  <c r="R49" i="34" s="1"/>
  <c r="Q51" i="34"/>
  <c r="R51" i="34" s="1"/>
  <c r="Q53" i="34"/>
  <c r="R53" i="34" s="1"/>
  <c r="Q54" i="34"/>
  <c r="R54" i="34" s="1"/>
  <c r="Q58" i="34"/>
  <c r="R58" i="34" s="1"/>
  <c r="Q59" i="34"/>
  <c r="R59" i="34" s="1"/>
  <c r="Q62" i="34"/>
  <c r="R62" i="34" s="1"/>
  <c r="Q63" i="34"/>
  <c r="R63" i="34" s="1"/>
  <c r="Q64" i="34"/>
  <c r="R64" i="34" s="1"/>
  <c r="Q66" i="34"/>
  <c r="R66" i="34" s="1"/>
  <c r="Q67" i="34"/>
  <c r="R67" i="34" s="1"/>
  <c r="C4" i="16"/>
  <c r="C3" i="16"/>
  <c r="N15" i="34"/>
  <c r="N14" i="34"/>
  <c r="N13" i="34"/>
  <c r="N15" i="40" l="1"/>
  <c r="N14" i="40"/>
  <c r="N15" i="39"/>
  <c r="N14" i="39"/>
  <c r="N15" i="38"/>
  <c r="N14" i="38"/>
  <c r="N15" i="37"/>
  <c r="N14" i="37"/>
  <c r="N14" i="35"/>
  <c r="N15" i="41"/>
  <c r="N14" i="41"/>
  <c r="N13" i="41"/>
  <c r="K15" i="41"/>
  <c r="K14" i="41"/>
  <c r="K13" i="41"/>
  <c r="N13" i="40"/>
  <c r="K15" i="40"/>
  <c r="K14" i="40"/>
  <c r="K13" i="40"/>
  <c r="N13" i="39"/>
  <c r="N13" i="38"/>
  <c r="M15" i="41"/>
  <c r="M15" i="40"/>
  <c r="M15" i="39"/>
  <c r="M15" i="38"/>
  <c r="M15" i="37"/>
  <c r="M15" i="35"/>
  <c r="M14" i="41"/>
  <c r="M14" i="40"/>
  <c r="M14" i="39"/>
  <c r="M14" i="38"/>
  <c r="M14" i="37"/>
  <c r="M13" i="41"/>
  <c r="M13" i="40"/>
  <c r="M13" i="39"/>
  <c r="M13" i="38"/>
  <c r="M13" i="37"/>
  <c r="K15" i="39"/>
  <c r="K14" i="39"/>
  <c r="K13" i="39"/>
  <c r="K15" i="38"/>
  <c r="K14" i="38"/>
  <c r="K13" i="38"/>
  <c r="K15" i="37"/>
  <c r="K14" i="37"/>
  <c r="K13" i="37"/>
  <c r="N13" i="37" s="1"/>
  <c r="K15" i="35"/>
  <c r="N15" i="35" s="1"/>
  <c r="K14" i="35"/>
  <c r="K13" i="35"/>
  <c r="K42" i="36" l="1"/>
  <c r="N64" i="34" l="1"/>
  <c r="N63" i="34"/>
  <c r="N62" i="34"/>
  <c r="N61" i="34"/>
  <c r="N60" i="34"/>
  <c r="N59" i="34"/>
  <c r="N58" i="34"/>
  <c r="N56" i="34"/>
  <c r="N55" i="34"/>
  <c r="N54" i="34"/>
  <c r="N51" i="34"/>
  <c r="N50" i="34"/>
  <c r="N49" i="34"/>
  <c r="N48" i="34"/>
  <c r="N47" i="34"/>
  <c r="K22" i="35" l="1"/>
  <c r="N42" i="36" l="1"/>
  <c r="M12" i="35"/>
  <c r="M13" i="35"/>
  <c r="N13" i="35" s="1"/>
  <c r="M14" i="35"/>
  <c r="M43" i="41"/>
  <c r="M43" i="40"/>
  <c r="M43" i="39"/>
  <c r="M43" i="38"/>
  <c r="M43" i="37"/>
  <c r="M43" i="35"/>
  <c r="M41" i="36"/>
  <c r="N44" i="34"/>
  <c r="N43" i="34" l="1"/>
  <c r="M44" i="41" l="1"/>
  <c r="M51" i="41"/>
  <c r="M56" i="41"/>
  <c r="M64" i="41"/>
  <c r="M51" i="40"/>
  <c r="M56" i="40"/>
  <c r="M64" i="40"/>
  <c r="M44" i="40"/>
  <c r="M44" i="39"/>
  <c r="M51" i="39"/>
  <c r="M56" i="39"/>
  <c r="M64" i="39"/>
  <c r="M34" i="38"/>
  <c r="M44" i="38"/>
  <c r="M51" i="38"/>
  <c r="M56" i="38"/>
  <c r="M64" i="38"/>
  <c r="M64" i="37"/>
  <c r="M56" i="37"/>
  <c r="M51" i="37"/>
  <c r="M44" i="37"/>
  <c r="M63" i="36"/>
  <c r="M55" i="36"/>
  <c r="M50" i="36"/>
  <c r="M43" i="36"/>
  <c r="M17" i="36"/>
  <c r="M20" i="36"/>
  <c r="M21" i="36"/>
  <c r="B4" i="36"/>
  <c r="N10" i="36"/>
  <c r="N11" i="36"/>
  <c r="N12" i="36"/>
  <c r="N13" i="36"/>
  <c r="M25" i="36"/>
  <c r="M28" i="36"/>
  <c r="M32" i="36"/>
  <c r="K33" i="36"/>
  <c r="K34" i="36"/>
  <c r="K38" i="36"/>
  <c r="K47" i="36"/>
  <c r="K56" i="36"/>
  <c r="K57" i="36"/>
  <c r="K58" i="36"/>
  <c r="K59" i="36"/>
  <c r="K60" i="36"/>
  <c r="K61" i="36"/>
  <c r="K62" i="36"/>
  <c r="M64" i="35"/>
  <c r="M56" i="35"/>
  <c r="M51" i="35"/>
  <c r="M44" i="35"/>
  <c r="N20" i="36" l="1"/>
  <c r="N21" i="36"/>
  <c r="M24" i="36"/>
  <c r="N24" i="36" s="1"/>
  <c r="M53" i="35" l="1"/>
  <c r="M52" i="35"/>
  <c r="M45" i="41"/>
  <c r="M45" i="37"/>
  <c r="M45" i="39"/>
  <c r="M44" i="36"/>
  <c r="N44" i="36" s="1"/>
  <c r="M45" i="35"/>
  <c r="M45" i="40"/>
  <c r="M45" i="38"/>
  <c r="M35" i="38"/>
  <c r="M35" i="39"/>
  <c r="M33" i="36"/>
  <c r="N33" i="36" s="1"/>
  <c r="N46" i="34"/>
  <c r="N59" i="36"/>
  <c r="M46" i="36"/>
  <c r="N46" i="36" s="1"/>
  <c r="M47" i="40"/>
  <c r="M48" i="36"/>
  <c r="N48" i="36" s="1"/>
  <c r="M30" i="36"/>
  <c r="N30" i="36" s="1"/>
  <c r="M29" i="36"/>
  <c r="N29" i="36" s="1"/>
  <c r="M31" i="36"/>
  <c r="N31" i="36" s="1"/>
  <c r="M54" i="36"/>
  <c r="N54" i="36" s="1"/>
  <c r="M55" i="40"/>
  <c r="M55" i="39"/>
  <c r="M53" i="36"/>
  <c r="N53" i="36" s="1"/>
  <c r="M65" i="38"/>
  <c r="M65" i="39"/>
  <c r="M65" i="41"/>
  <c r="M65" i="37"/>
  <c r="M65" i="35"/>
  <c r="M65" i="40"/>
  <c r="M64" i="36"/>
  <c r="M48" i="39"/>
  <c r="M48" i="41"/>
  <c r="M48" i="37"/>
  <c r="M47" i="36"/>
  <c r="N47" i="36" s="1"/>
  <c r="M48" i="35"/>
  <c r="M48" i="38"/>
  <c r="M48" i="40"/>
  <c r="M36" i="38"/>
  <c r="M36" i="39"/>
  <c r="M34" i="36"/>
  <c r="N34" i="36" s="1"/>
  <c r="M52" i="38"/>
  <c r="M52" i="40"/>
  <c r="M52" i="37"/>
  <c r="M51" i="36"/>
  <c r="N51" i="36" s="1"/>
  <c r="M53" i="38"/>
  <c r="M53" i="39"/>
  <c r="M53" i="37"/>
  <c r="M53" i="41"/>
  <c r="M40" i="38"/>
  <c r="M38" i="36"/>
  <c r="N38" i="36" s="1"/>
  <c r="M40" i="39"/>
  <c r="M46" i="38"/>
  <c r="M46" i="37"/>
  <c r="M46" i="40"/>
  <c r="M45" i="36"/>
  <c r="N45" i="36" s="1"/>
  <c r="M46" i="35"/>
  <c r="M46" i="41"/>
  <c r="M46" i="39"/>
  <c r="N41" i="36"/>
  <c r="M39" i="36"/>
  <c r="N39" i="36" s="1"/>
  <c r="M41" i="38"/>
  <c r="M41" i="39"/>
  <c r="M39" i="38"/>
  <c r="M37" i="36"/>
  <c r="N37" i="36" s="1"/>
  <c r="M39" i="39"/>
  <c r="M42" i="38"/>
  <c r="M40" i="36"/>
  <c r="N40" i="36" s="1"/>
  <c r="M42" i="39"/>
  <c r="M37" i="38"/>
  <c r="M37" i="39"/>
  <c r="M35" i="36"/>
  <c r="N35" i="36" s="1"/>
  <c r="M38" i="38"/>
  <c r="M38" i="39"/>
  <c r="M36" i="36"/>
  <c r="N36" i="36" s="1"/>
  <c r="M52" i="36" l="1"/>
  <c r="N52" i="36" s="1"/>
  <c r="M52" i="39"/>
  <c r="M53" i="40"/>
  <c r="N53" i="34"/>
  <c r="M52" i="41"/>
  <c r="M50" i="40"/>
  <c r="M50" i="35"/>
  <c r="M50" i="37"/>
  <c r="M50" i="38"/>
  <c r="M49" i="36"/>
  <c r="N49" i="36" s="1"/>
  <c r="M50" i="41"/>
  <c r="M50" i="39"/>
  <c r="M23" i="41"/>
  <c r="M22" i="41"/>
  <c r="K23" i="41"/>
  <c r="M23" i="40"/>
  <c r="M22" i="40"/>
  <c r="N22" i="40" s="1"/>
  <c r="K21" i="40"/>
  <c r="K23" i="39"/>
  <c r="M23" i="39"/>
  <c r="M22" i="39"/>
  <c r="M23" i="38"/>
  <c r="M22" i="38"/>
  <c r="K22" i="38"/>
  <c r="M23" i="37"/>
  <c r="M22" i="37"/>
  <c r="K22" i="37"/>
  <c r="M23" i="35"/>
  <c r="M22" i="35"/>
  <c r="N23" i="41" l="1"/>
  <c r="N23" i="37"/>
  <c r="N22" i="41"/>
  <c r="N23" i="39"/>
  <c r="N22" i="39"/>
  <c r="N23" i="38"/>
  <c r="N22" i="38"/>
  <c r="N22" i="37"/>
  <c r="N22" i="35"/>
  <c r="N23" i="35"/>
  <c r="M12" i="36" l="1"/>
  <c r="M57" i="38"/>
  <c r="M13" i="36"/>
  <c r="M17" i="37"/>
  <c r="M27" i="36"/>
  <c r="N27" i="36" s="1"/>
  <c r="M62" i="39"/>
  <c r="M16" i="36"/>
  <c r="N16" i="36" s="1"/>
  <c r="M26" i="36"/>
  <c r="N26" i="36" s="1"/>
  <c r="M10" i="36"/>
  <c r="M15" i="36"/>
  <c r="N15" i="36" s="1"/>
  <c r="M23" i="36"/>
  <c r="N23" i="36" s="1"/>
  <c r="M61" i="40"/>
  <c r="M14" i="36"/>
  <c r="N14" i="36" s="1"/>
  <c r="M11" i="36"/>
  <c r="M22" i="36"/>
  <c r="N22" i="36" s="1"/>
  <c r="M18" i="37"/>
  <c r="M58" i="39"/>
  <c r="M19" i="36"/>
  <c r="N19" i="36" s="1"/>
  <c r="M63" i="40"/>
  <c r="M18" i="36"/>
  <c r="N18" i="36" s="1"/>
  <c r="K16" i="37"/>
  <c r="N23" i="34"/>
  <c r="N22" i="34"/>
  <c r="B4" i="34"/>
  <c r="B4" i="41"/>
  <c r="B4" i="40"/>
  <c r="B4" i="39"/>
  <c r="B4" i="38"/>
  <c r="B4" i="37"/>
  <c r="B4" i="35"/>
  <c r="B4" i="11"/>
  <c r="B3" i="36" a="1"/>
  <c r="B3" i="36" s="1"/>
  <c r="M24" i="41" l="1"/>
  <c r="M24" i="40"/>
  <c r="N58" i="36"/>
  <c r="M16" i="37"/>
  <c r="N16" i="37" s="1"/>
  <c r="M58" i="37"/>
  <c r="M58" i="40"/>
  <c r="M25" i="41"/>
  <c r="M58" i="35"/>
  <c r="M57" i="35"/>
  <c r="M57" i="39"/>
  <c r="M62" i="41"/>
  <c r="M63" i="41"/>
  <c r="M21" i="40"/>
  <c r="N21" i="40" s="1"/>
  <c r="M58" i="38"/>
  <c r="M66" i="38"/>
  <c r="M66" i="37"/>
  <c r="M66" i="39"/>
  <c r="M66" i="35"/>
  <c r="M65" i="36"/>
  <c r="M66" i="41"/>
  <c r="M66" i="40"/>
  <c r="M63" i="38"/>
  <c r="M58" i="41"/>
  <c r="M61" i="38"/>
  <c r="M57" i="40"/>
  <c r="M61" i="41"/>
  <c r="M62" i="40"/>
  <c r="M57" i="36"/>
  <c r="N57" i="36" s="1"/>
  <c r="M61" i="35"/>
  <c r="M63" i="37"/>
  <c r="M61" i="37"/>
  <c r="M63" i="35"/>
  <c r="M60" i="36"/>
  <c r="N60" i="36" s="1"/>
  <c r="M63" i="39"/>
  <c r="M25" i="40"/>
  <c r="M57" i="41"/>
  <c r="M56" i="36"/>
  <c r="N56" i="36" s="1"/>
  <c r="M57" i="37"/>
  <c r="M62" i="37"/>
  <c r="M62" i="38"/>
  <c r="M62" i="35"/>
  <c r="M62" i="36"/>
  <c r="N62" i="36" s="1"/>
  <c r="M61" i="39"/>
  <c r="M61" i="36"/>
  <c r="N61" i="36" s="1"/>
  <c r="B3" i="37" a="1"/>
  <c r="B3" i="37" s="1"/>
  <c r="B3" i="40" a="1"/>
  <c r="B3" i="40" s="1"/>
  <c r="B3" i="11" a="1"/>
  <c r="B3" i="11" s="1"/>
  <c r="B3" i="38" a="1"/>
  <c r="B3" i="38" s="1"/>
  <c r="B3" i="41" a="1"/>
  <c r="B3" i="41" s="1"/>
  <c r="B3" i="35" a="1"/>
  <c r="B3" i="35" s="1"/>
  <c r="B3" i="39" a="1"/>
  <c r="B3" i="39" s="1"/>
  <c r="B3" i="34" a="1"/>
  <c r="B3" i="34" s="1"/>
  <c r="K28" i="35"/>
  <c r="N66" i="36" l="1"/>
  <c r="K42" i="41"/>
  <c r="K42" i="40"/>
  <c r="K42" i="39"/>
  <c r="K42" i="38"/>
  <c r="K42" i="37"/>
  <c r="K42" i="35"/>
  <c r="K46" i="35" l="1"/>
  <c r="K46" i="37"/>
  <c r="K48" i="37"/>
  <c r="K46" i="38"/>
  <c r="N26" i="34" l="1"/>
  <c r="K48" i="35" l="1"/>
  <c r="K43" i="41" l="1"/>
  <c r="K43" i="40"/>
  <c r="K43" i="39"/>
  <c r="K43" i="38"/>
  <c r="K43" i="37"/>
  <c r="K43" i="35"/>
  <c r="K38" i="41" l="1"/>
  <c r="K38" i="40"/>
  <c r="K38" i="39"/>
  <c r="K38" i="38"/>
  <c r="K41" i="41" l="1"/>
  <c r="K41" i="40"/>
  <c r="K41" i="39"/>
  <c r="K41" i="38"/>
  <c r="K41" i="37"/>
  <c r="K41" i="35"/>
  <c r="K37" i="41" l="1"/>
  <c r="K37" i="40"/>
  <c r="K37" i="39"/>
  <c r="K37" i="38"/>
  <c r="B21" i="10" l="1"/>
  <c r="K46" i="39" l="1"/>
  <c r="K36" i="35"/>
  <c r="K36" i="37"/>
  <c r="M42" i="41" l="1"/>
  <c r="M41" i="41"/>
  <c r="M40" i="41"/>
  <c r="M39" i="41"/>
  <c r="M38" i="41"/>
  <c r="M37" i="41"/>
  <c r="M36" i="41"/>
  <c r="M35" i="41"/>
  <c r="M34" i="41"/>
  <c r="M30" i="41"/>
  <c r="M29" i="41"/>
  <c r="M28" i="41"/>
  <c r="M27" i="41"/>
  <c r="M21" i="41"/>
  <c r="M20" i="41"/>
  <c r="M19" i="41"/>
  <c r="M18" i="41"/>
  <c r="M17" i="41"/>
  <c r="M16" i="41"/>
  <c r="M12" i="41"/>
  <c r="M11" i="41"/>
  <c r="M10" i="41"/>
  <c r="M42" i="40"/>
  <c r="M41" i="40"/>
  <c r="M40" i="40"/>
  <c r="M39" i="40"/>
  <c r="M38" i="40"/>
  <c r="M37" i="40"/>
  <c r="M36" i="40"/>
  <c r="M35" i="40"/>
  <c r="M34" i="40"/>
  <c r="M30" i="40"/>
  <c r="M29" i="40"/>
  <c r="M28" i="40"/>
  <c r="M27" i="40"/>
  <c r="M20" i="40"/>
  <c r="M19" i="40"/>
  <c r="M18" i="40"/>
  <c r="M17" i="40"/>
  <c r="M16" i="40"/>
  <c r="M12" i="40"/>
  <c r="M11" i="40"/>
  <c r="M10" i="40"/>
  <c r="M34" i="39"/>
  <c r="M30" i="39"/>
  <c r="M29" i="39"/>
  <c r="M28" i="39"/>
  <c r="M27" i="39"/>
  <c r="M25" i="39"/>
  <c r="M24" i="39"/>
  <c r="M21" i="39"/>
  <c r="M20" i="39"/>
  <c r="M19" i="39"/>
  <c r="M18" i="39"/>
  <c r="M17" i="39"/>
  <c r="M16" i="39"/>
  <c r="M12" i="39"/>
  <c r="M11" i="39"/>
  <c r="M10" i="39"/>
  <c r="M30" i="38"/>
  <c r="M29" i="38"/>
  <c r="M28" i="38"/>
  <c r="M27" i="38"/>
  <c r="M25" i="38"/>
  <c r="M24" i="38"/>
  <c r="M21" i="38"/>
  <c r="M20" i="38"/>
  <c r="M19" i="38"/>
  <c r="M18" i="38"/>
  <c r="M17" i="38"/>
  <c r="M16" i="38"/>
  <c r="M12" i="38"/>
  <c r="M11" i="38"/>
  <c r="M10" i="38"/>
  <c r="M42" i="37"/>
  <c r="M41" i="37"/>
  <c r="M40" i="37"/>
  <c r="M39" i="37"/>
  <c r="M38" i="37"/>
  <c r="M37" i="37"/>
  <c r="M36" i="37"/>
  <c r="M35" i="37"/>
  <c r="M34" i="37"/>
  <c r="M30" i="37"/>
  <c r="M29" i="37"/>
  <c r="M28" i="37"/>
  <c r="M27" i="37"/>
  <c r="M25" i="37"/>
  <c r="M24" i="37"/>
  <c r="M21" i="37"/>
  <c r="M20" i="37"/>
  <c r="M19" i="37"/>
  <c r="M12" i="37"/>
  <c r="M11" i="37"/>
  <c r="M10" i="37"/>
  <c r="M42" i="35"/>
  <c r="M41" i="35"/>
  <c r="M40" i="35"/>
  <c r="M39" i="35"/>
  <c r="M38" i="35"/>
  <c r="M37" i="35"/>
  <c r="M36" i="35"/>
  <c r="M35" i="35"/>
  <c r="M34" i="35"/>
  <c r="M30" i="35"/>
  <c r="M29" i="35"/>
  <c r="M28" i="35"/>
  <c r="M27" i="35"/>
  <c r="M25" i="35"/>
  <c r="M24" i="35"/>
  <c r="M21" i="35"/>
  <c r="M20" i="35"/>
  <c r="M19" i="35"/>
  <c r="M18" i="35"/>
  <c r="M17" i="35"/>
  <c r="M16" i="35"/>
  <c r="M11" i="35"/>
  <c r="M10" i="35"/>
  <c r="K65" i="40" l="1"/>
  <c r="K65" i="39"/>
  <c r="K65" i="38"/>
  <c r="N65" i="38" s="1"/>
  <c r="K62" i="41" l="1"/>
  <c r="K61" i="41"/>
  <c r="K60" i="41"/>
  <c r="K59" i="41"/>
  <c r="K55" i="41"/>
  <c r="K54" i="41"/>
  <c r="K49" i="41"/>
  <c r="K48" i="41"/>
  <c r="K47" i="41"/>
  <c r="K40" i="41"/>
  <c r="K33" i="41"/>
  <c r="K32" i="41"/>
  <c r="K31" i="41"/>
  <c r="K26" i="41"/>
  <c r="K26" i="40"/>
  <c r="K36" i="40"/>
  <c r="K36" i="39"/>
  <c r="K58" i="40"/>
  <c r="K58" i="39"/>
  <c r="K62" i="40"/>
  <c r="K61" i="40"/>
  <c r="K60" i="40"/>
  <c r="K59" i="40"/>
  <c r="K54" i="40"/>
  <c r="K53" i="40"/>
  <c r="K49" i="40"/>
  <c r="K48" i="40"/>
  <c r="K40" i="40"/>
  <c r="K26" i="39"/>
  <c r="K18" i="40"/>
  <c r="K17" i="40"/>
  <c r="K16" i="40"/>
  <c r="K12" i="40"/>
  <c r="K11" i="40"/>
  <c r="K10" i="40"/>
  <c r="K10" i="39"/>
  <c r="K58" i="38"/>
  <c r="K62" i="39"/>
  <c r="K61" i="39"/>
  <c r="K60" i="39"/>
  <c r="K59" i="39"/>
  <c r="K54" i="39"/>
  <c r="K49" i="39"/>
  <c r="K48" i="39"/>
  <c r="K47" i="39"/>
  <c r="K40" i="39"/>
  <c r="K33" i="39"/>
  <c r="K32" i="39"/>
  <c r="K31" i="39"/>
  <c r="K28" i="38"/>
  <c r="K26" i="38"/>
  <c r="K18" i="39"/>
  <c r="K17" i="39"/>
  <c r="K16" i="39"/>
  <c r="K12" i="39"/>
  <c r="K11" i="39"/>
  <c r="K10" i="38"/>
  <c r="K12" i="35"/>
  <c r="K29" i="40"/>
  <c r="K29" i="39"/>
  <c r="K28" i="37"/>
  <c r="K10" i="35"/>
  <c r="K10" i="37"/>
  <c r="K18" i="38"/>
  <c r="K17" i="38"/>
  <c r="K58" i="37"/>
  <c r="K58" i="35"/>
  <c r="K62" i="38"/>
  <c r="K61" i="38"/>
  <c r="K60" i="38"/>
  <c r="K59" i="38"/>
  <c r="K54" i="38"/>
  <c r="K53" i="38"/>
  <c r="K49" i="38"/>
  <c r="K48" i="38"/>
  <c r="K40" i="38"/>
  <c r="K16" i="38"/>
  <c r="K12" i="38"/>
  <c r="K11" i="38"/>
  <c r="K62" i="37"/>
  <c r="K61" i="37"/>
  <c r="K60" i="37"/>
  <c r="K59" i="37"/>
  <c r="K54" i="37"/>
  <c r="K49" i="37"/>
  <c r="K40" i="37"/>
  <c r="K33" i="37"/>
  <c r="K32" i="37"/>
  <c r="K31" i="37"/>
  <c r="K26" i="37"/>
  <c r="K12" i="37"/>
  <c r="K11" i="37"/>
  <c r="K62" i="35" l="1"/>
  <c r="K61" i="35"/>
  <c r="K60" i="35"/>
  <c r="K59" i="35"/>
  <c r="K54" i="35"/>
  <c r="K53" i="35"/>
  <c r="K49" i="35"/>
  <c r="K40" i="35"/>
  <c r="K26" i="35"/>
  <c r="K16" i="35"/>
  <c r="K11" i="35"/>
  <c r="K66" i="41" l="1"/>
  <c r="K66" i="40"/>
  <c r="K66" i="39"/>
  <c r="K66" i="38"/>
  <c r="K66" i="37"/>
  <c r="K66" i="35"/>
  <c r="N66" i="41" l="1"/>
  <c r="N65" i="41"/>
  <c r="N63" i="41"/>
  <c r="N57" i="41"/>
  <c r="K52" i="41"/>
  <c r="N52" i="41" s="1"/>
  <c r="K50" i="41"/>
  <c r="N50" i="41" s="1"/>
  <c r="K46" i="41"/>
  <c r="N46" i="41" s="1"/>
  <c r="N45" i="41"/>
  <c r="N42" i="41"/>
  <c r="N41" i="41"/>
  <c r="N40" i="41"/>
  <c r="K39" i="41"/>
  <c r="N39" i="41" s="1"/>
  <c r="N37" i="41"/>
  <c r="K36" i="41"/>
  <c r="N36" i="41" s="1"/>
  <c r="K35" i="41"/>
  <c r="N35" i="41" s="1"/>
  <c r="K29" i="41"/>
  <c r="N29" i="41" s="1"/>
  <c r="N28" i="41"/>
  <c r="K25" i="41"/>
  <c r="N25" i="41" s="1"/>
  <c r="N24" i="41"/>
  <c r="K21" i="41"/>
  <c r="N21" i="41" s="1"/>
  <c r="N20" i="41"/>
  <c r="K18" i="41"/>
  <c r="N18" i="41" s="1"/>
  <c r="K17" i="41"/>
  <c r="N17" i="41" s="1"/>
  <c r="K16" i="41"/>
  <c r="N16" i="41" s="1"/>
  <c r="N48" i="41"/>
  <c r="N43" i="41"/>
  <c r="N38" i="41"/>
  <c r="K12" i="41"/>
  <c r="K11" i="41"/>
  <c r="N11" i="41" s="1"/>
  <c r="K10" i="41"/>
  <c r="N66" i="40"/>
  <c r="N65" i="40"/>
  <c r="N63" i="40"/>
  <c r="N57" i="40"/>
  <c r="K52" i="40"/>
  <c r="N52" i="40" s="1"/>
  <c r="K50" i="40"/>
  <c r="N50" i="40" s="1"/>
  <c r="K46" i="40"/>
  <c r="N46" i="40" s="1"/>
  <c r="N45" i="40"/>
  <c r="N42" i="40"/>
  <c r="N41" i="40"/>
  <c r="N40" i="40"/>
  <c r="K39" i="40"/>
  <c r="N39" i="40" s="1"/>
  <c r="N37" i="40"/>
  <c r="N36" i="40"/>
  <c r="K35" i="40"/>
  <c r="N35" i="40" s="1"/>
  <c r="N28" i="40"/>
  <c r="K25" i="40"/>
  <c r="N25" i="40" s="1"/>
  <c r="N24" i="40"/>
  <c r="K23" i="40"/>
  <c r="N23" i="40" s="1"/>
  <c r="N20" i="40"/>
  <c r="N18" i="40"/>
  <c r="N17" i="40"/>
  <c r="N16" i="40"/>
  <c r="N62" i="40"/>
  <c r="N61" i="40"/>
  <c r="N48" i="40"/>
  <c r="N43" i="40"/>
  <c r="N38" i="40"/>
  <c r="N10" i="40"/>
  <c r="N65" i="39"/>
  <c r="N63" i="39"/>
  <c r="K57" i="39"/>
  <c r="N57" i="39" s="1"/>
  <c r="K52" i="39"/>
  <c r="N52" i="39" s="1"/>
  <c r="K50" i="39"/>
  <c r="N50" i="39" s="1"/>
  <c r="N46" i="39"/>
  <c r="N45" i="39"/>
  <c r="N42" i="39"/>
  <c r="N41" i="39"/>
  <c r="N40" i="39"/>
  <c r="K39" i="39"/>
  <c r="N39" i="39" s="1"/>
  <c r="N37" i="39"/>
  <c r="N36" i="39"/>
  <c r="K35" i="39"/>
  <c r="N35" i="39" s="1"/>
  <c r="N29" i="39"/>
  <c r="N28" i="39"/>
  <c r="K25" i="39"/>
  <c r="N25" i="39" s="1"/>
  <c r="N24" i="39"/>
  <c r="K21" i="39"/>
  <c r="N21" i="39" s="1"/>
  <c r="N20" i="39"/>
  <c r="N18" i="39"/>
  <c r="N17" i="39"/>
  <c r="N16" i="39"/>
  <c r="N61" i="39"/>
  <c r="N48" i="39"/>
  <c r="N43" i="39"/>
  <c r="N38" i="39"/>
  <c r="N10" i="39"/>
  <c r="N46" i="38"/>
  <c r="N66" i="39"/>
  <c r="N66" i="37"/>
  <c r="N66" i="38"/>
  <c r="N63" i="38"/>
  <c r="N57" i="38"/>
  <c r="N53" i="38"/>
  <c r="K52" i="38"/>
  <c r="N52" i="38" s="1"/>
  <c r="K50" i="38"/>
  <c r="N50" i="38" s="1"/>
  <c r="N45" i="38"/>
  <c r="N42" i="38"/>
  <c r="N41" i="38"/>
  <c r="N40" i="38"/>
  <c r="K39" i="38"/>
  <c r="N39" i="38" s="1"/>
  <c r="N37" i="38"/>
  <c r="N36" i="38"/>
  <c r="N35" i="38"/>
  <c r="N29" i="38"/>
  <c r="N28" i="38"/>
  <c r="N25" i="38"/>
  <c r="K24" i="38"/>
  <c r="N24" i="38" s="1"/>
  <c r="N21" i="38"/>
  <c r="K20" i="38"/>
  <c r="N20" i="38" s="1"/>
  <c r="N18" i="38"/>
  <c r="N17" i="38"/>
  <c r="N16" i="38"/>
  <c r="N62" i="38"/>
  <c r="N61" i="38"/>
  <c r="N48" i="38"/>
  <c r="N38" i="38"/>
  <c r="N10" i="38"/>
  <c r="K53" i="41"/>
  <c r="N53" i="41" s="1"/>
  <c r="K53" i="39"/>
  <c r="N53" i="39" s="1"/>
  <c r="K53" i="37"/>
  <c r="N53" i="37" s="1"/>
  <c r="K58" i="41"/>
  <c r="N58" i="41" s="1"/>
  <c r="N58" i="40"/>
  <c r="N58" i="39"/>
  <c r="N58" i="38"/>
  <c r="N58" i="37"/>
  <c r="N63" i="37"/>
  <c r="N57" i="37"/>
  <c r="K52" i="37"/>
  <c r="N52" i="37" s="1"/>
  <c r="K50" i="37"/>
  <c r="N50" i="37" s="1"/>
  <c r="N46" i="37"/>
  <c r="K45" i="37"/>
  <c r="N42" i="37"/>
  <c r="N41" i="37"/>
  <c r="N40" i="37"/>
  <c r="K39" i="37"/>
  <c r="N39" i="37" s="1"/>
  <c r="N37" i="37"/>
  <c r="N36" i="37"/>
  <c r="K35" i="37"/>
  <c r="N35" i="37" s="1"/>
  <c r="N29" i="37"/>
  <c r="N28" i="37"/>
  <c r="N25" i="37"/>
  <c r="K24" i="37"/>
  <c r="N24" i="37" s="1"/>
  <c r="N21" i="37"/>
  <c r="K20" i="37"/>
  <c r="N20" i="37" s="1"/>
  <c r="N18" i="37"/>
  <c r="N17" i="37"/>
  <c r="N62" i="37"/>
  <c r="N61" i="37"/>
  <c r="N48" i="37"/>
  <c r="N43" i="37"/>
  <c r="N38" i="37"/>
  <c r="N10" i="37"/>
  <c r="N66" i="35"/>
  <c r="N62" i="41"/>
  <c r="N61" i="41"/>
  <c r="N12" i="41"/>
  <c r="N10" i="41"/>
  <c r="N53" i="40"/>
  <c r="N29" i="40"/>
  <c r="N12" i="40"/>
  <c r="N11" i="40"/>
  <c r="N62" i="39"/>
  <c r="N12" i="39"/>
  <c r="N11" i="39"/>
  <c r="N43" i="38"/>
  <c r="N12" i="38"/>
  <c r="N11" i="38"/>
  <c r="N45" i="37"/>
  <c r="N12" i="37"/>
  <c r="N11" i="37"/>
  <c r="N63" i="35" l="1"/>
  <c r="N62" i="35"/>
  <c r="N61" i="35"/>
  <c r="N58" i="35"/>
  <c r="N57" i="35"/>
  <c r="N53" i="35"/>
  <c r="K52" i="35"/>
  <c r="N52" i="35" s="1"/>
  <c r="K50" i="35"/>
  <c r="N50" i="35" s="1"/>
  <c r="N48" i="35"/>
  <c r="N46" i="35"/>
  <c r="K45" i="35"/>
  <c r="N45" i="35" s="1"/>
  <c r="N43" i="35"/>
  <c r="N42" i="35"/>
  <c r="N41" i="35"/>
  <c r="N40" i="35"/>
  <c r="K39" i="35"/>
  <c r="N39" i="35" s="1"/>
  <c r="N38" i="35"/>
  <c r="N37" i="35"/>
  <c r="N36" i="35"/>
  <c r="K35" i="35"/>
  <c r="N35" i="35" s="1"/>
  <c r="N29" i="35"/>
  <c r="N28" i="35"/>
  <c r="N25" i="35"/>
  <c r="K24" i="35"/>
  <c r="N24" i="35" s="1"/>
  <c r="N21" i="35"/>
  <c r="K20" i="35"/>
  <c r="N20" i="35" s="1"/>
  <c r="N18" i="35"/>
  <c r="N17" i="35"/>
  <c r="N16" i="35"/>
  <c r="N12" i="35"/>
  <c r="N11" i="35"/>
  <c r="N10" i="35"/>
  <c r="N54" i="41" l="1"/>
  <c r="N54" i="40"/>
  <c r="N54" i="39"/>
  <c r="N54" i="38"/>
  <c r="N54" i="37"/>
  <c r="N54" i="35"/>
  <c r="N49" i="41"/>
  <c r="N49" i="40"/>
  <c r="N49" i="39"/>
  <c r="N49" i="38"/>
  <c r="N49" i="37"/>
  <c r="N49" i="35"/>
  <c r="N59" i="41"/>
  <c r="N59" i="40"/>
  <c r="N59" i="38"/>
  <c r="N59" i="37"/>
  <c r="N59" i="35"/>
  <c r="N59" i="39"/>
  <c r="N55" i="41"/>
  <c r="N55" i="40"/>
  <c r="N55" i="39"/>
  <c r="N55" i="38"/>
  <c r="N55" i="37"/>
  <c r="N55" i="35"/>
  <c r="N60" i="39"/>
  <c r="N60" i="41"/>
  <c r="N60" i="40"/>
  <c r="N60" i="38"/>
  <c r="N60" i="37"/>
  <c r="N60" i="35"/>
  <c r="N47" i="40"/>
  <c r="N47" i="39"/>
  <c r="N47" i="41"/>
  <c r="N47" i="38"/>
  <c r="N47" i="37"/>
  <c r="N47" i="35"/>
  <c r="N42" i="34"/>
  <c r="N41" i="34"/>
  <c r="N40" i="34"/>
  <c r="N39" i="34"/>
  <c r="N37" i="34"/>
  <c r="N38" i="34"/>
  <c r="N36" i="34"/>
  <c r="N35" i="34"/>
  <c r="N29" i="34"/>
  <c r="N28" i="34"/>
  <c r="N25" i="34"/>
  <c r="N24" i="34"/>
  <c r="N21" i="34"/>
  <c r="N20" i="34"/>
  <c r="N18" i="34"/>
  <c r="N17" i="34"/>
  <c r="N16" i="34"/>
  <c r="N31" i="41" l="1"/>
  <c r="M31" i="40"/>
  <c r="N31" i="40" s="1"/>
  <c r="N31" i="39"/>
  <c r="N31" i="38"/>
  <c r="N31" i="37"/>
  <c r="N31" i="35"/>
  <c r="N26" i="41"/>
  <c r="N26" i="40"/>
  <c r="N26" i="39"/>
  <c r="N26" i="38"/>
  <c r="N26" i="37"/>
  <c r="N26" i="35"/>
  <c r="M32" i="40"/>
  <c r="N32" i="40" s="1"/>
  <c r="N32" i="39"/>
  <c r="N32" i="38"/>
  <c r="N32" i="41"/>
  <c r="N32" i="37"/>
  <c r="N32" i="35"/>
  <c r="M33" i="40"/>
  <c r="N33" i="40" s="1"/>
  <c r="N33" i="39"/>
  <c r="N33" i="41"/>
  <c r="N33" i="38"/>
  <c r="N33" i="37"/>
  <c r="N33" i="35"/>
  <c r="G14" i="10"/>
  <c r="N33" i="34"/>
  <c r="N31" i="34"/>
  <c r="N32" i="34"/>
  <c r="N12" i="34"/>
  <c r="N11" i="34"/>
  <c r="N67" i="35" l="1"/>
  <c r="G15" i="10" s="1"/>
  <c r="N67" i="40"/>
  <c r="G19" i="10" s="1"/>
  <c r="N67" i="37"/>
  <c r="G16" i="10" s="1"/>
  <c r="N67" i="41"/>
  <c r="G20" i="10" s="1"/>
  <c r="N67" i="38"/>
  <c r="G17" i="10" s="1"/>
  <c r="N67" i="39"/>
  <c r="G18" i="10" s="1"/>
  <c r="N10" i="34"/>
  <c r="R15" i="16" l="1"/>
  <c r="R42" i="16" s="1"/>
  <c r="Q15" i="16"/>
  <c r="R14" i="16"/>
  <c r="R38" i="16" s="1"/>
  <c r="Q14" i="16"/>
  <c r="R13" i="16"/>
  <c r="R32" i="16" s="1"/>
  <c r="Q13" i="16"/>
  <c r="R12" i="16"/>
  <c r="R28" i="16" s="1"/>
  <c r="Q12" i="16"/>
  <c r="R11" i="16"/>
  <c r="R22" i="16" s="1"/>
  <c r="Q11" i="16"/>
  <c r="C5" i="16"/>
  <c r="N68" i="34"/>
  <c r="B29" i="10"/>
  <c r="G21" i="10"/>
  <c r="E7" i="10"/>
  <c r="B5" i="36" l="1"/>
  <c r="B5" i="35"/>
  <c r="B5" i="41"/>
  <c r="B5" i="38"/>
  <c r="B5" i="40"/>
  <c r="B5" i="11"/>
  <c r="B5" i="37"/>
  <c r="B5" i="34"/>
  <c r="B5" i="39"/>
  <c r="Q16" i="16"/>
  <c r="S12" i="16" s="1"/>
  <c r="R20" i="16"/>
  <c r="R21" i="16"/>
  <c r="R23" i="16"/>
  <c r="R25" i="16"/>
  <c r="R27" i="16"/>
  <c r="R29" i="16"/>
  <c r="R31" i="16"/>
  <c r="R33" i="16"/>
  <c r="R35" i="16"/>
  <c r="R37" i="16"/>
  <c r="R39" i="16"/>
  <c r="R41" i="16"/>
  <c r="R43" i="16"/>
  <c r="R19" i="16"/>
  <c r="R24" i="16"/>
  <c r="R26" i="16"/>
  <c r="R30" i="16"/>
  <c r="R34" i="16"/>
  <c r="R36" i="16"/>
  <c r="R40" i="16"/>
  <c r="S14" i="16" l="1"/>
  <c r="S38" i="16" s="1"/>
  <c r="S15" i="16"/>
  <c r="S43" i="16" s="1"/>
  <c r="S13" i="16"/>
  <c r="S32" i="16" s="1"/>
  <c r="S11" i="16"/>
  <c r="S27" i="16"/>
  <c r="S28" i="16"/>
  <c r="S26" i="16"/>
  <c r="S24" i="16"/>
  <c r="S25" i="16"/>
  <c r="S36" i="16" l="1"/>
  <c r="S35" i="16"/>
  <c r="S34" i="16"/>
  <c r="S37" i="16"/>
  <c r="S16" i="16"/>
  <c r="S33" i="16"/>
  <c r="S42" i="16"/>
  <c r="S31" i="16"/>
  <c r="S41" i="16"/>
  <c r="S39" i="16"/>
  <c r="S40" i="16"/>
  <c r="S19" i="16"/>
  <c r="S20" i="16"/>
  <c r="S29" i="16"/>
  <c r="S22" i="16"/>
  <c r="C19" i="16" s="1"/>
  <c r="B37" i="10" s="1"/>
  <c r="C37" i="10" s="1"/>
  <c r="S23" i="16"/>
  <c r="C20" i="16" s="1"/>
  <c r="B38" i="10" s="1"/>
  <c r="C38" i="10" s="1"/>
  <c r="S30" i="16"/>
  <c r="S21" i="16"/>
  <c r="C18" i="16" l="1"/>
  <c r="B36" i="10" s="1"/>
  <c r="C36" i="10" s="1"/>
  <c r="C16" i="16"/>
  <c r="B34" i="10" s="1"/>
  <c r="C17" i="16"/>
  <c r="B35" i="10" s="1"/>
  <c r="C35" i="10" s="1"/>
  <c r="S44" i="16"/>
  <c r="C34" i="10" l="1"/>
  <c r="C39" i="10" s="1"/>
  <c r="B39" i="10"/>
  <c r="C2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Windhouwer, Gert</author>
  </authors>
  <commentList>
    <comment ref="L11" authorId="0" shapeId="0" xr:uid="{00000000-0006-0000-0200-000001000000}">
      <text>
        <r>
          <rPr>
            <sz val="9"/>
            <color indexed="81"/>
            <rFont val="Tahoma"/>
            <family val="2"/>
          </rPr>
          <t>Offertebedrag invullen of bedrag o.b.v. regieuren invullen.</t>
        </r>
      </text>
    </comment>
    <comment ref="L13" authorId="0" shapeId="0" xr:uid="{00000000-0006-0000-0200-000002000000}">
      <text>
        <r>
          <rPr>
            <sz val="9"/>
            <color indexed="81"/>
            <rFont val="Tahoma"/>
            <family val="2"/>
          </rPr>
          <t>Offertebedrag invullen of bedrag o.b.v. regieuren invullen.</t>
        </r>
      </text>
    </comment>
    <comment ref="L14" authorId="0" shapeId="0" xr:uid="{00000000-0006-0000-0200-000003000000}">
      <text>
        <r>
          <rPr>
            <sz val="9"/>
            <color indexed="81"/>
            <rFont val="Tahoma"/>
            <family val="2"/>
          </rPr>
          <t>Offertebedrag invullen of bedrag o.b.v. regieuren invullen.</t>
        </r>
      </text>
    </comment>
    <comment ref="L15" authorId="0" shapeId="0" xr:uid="{00000000-0006-0000-0200-000004000000}">
      <text>
        <r>
          <rPr>
            <sz val="9"/>
            <color indexed="81"/>
            <rFont val="Tahoma"/>
            <family val="2"/>
          </rPr>
          <t>Offertebedrag invullen of bedrag o.b.v. regieuren invullen.</t>
        </r>
      </text>
    </comment>
    <comment ref="L24" authorId="0" shapeId="0" xr:uid="{00000000-0006-0000-0200-000005000000}">
      <text>
        <r>
          <rPr>
            <sz val="9"/>
            <color indexed="81"/>
            <rFont val="Tahoma"/>
            <family val="2"/>
          </rPr>
          <t>Offertebedrag invullen of bedrag o.b.v. regieuren invullen.</t>
        </r>
      </text>
    </comment>
    <comment ref="L27" authorId="0" shapeId="0" xr:uid="{00000000-0006-0000-0200-000006000000}">
      <text>
        <r>
          <rPr>
            <sz val="9"/>
            <color indexed="81"/>
            <rFont val="Tahoma"/>
            <family val="2"/>
          </rPr>
          <t>Offertebedrag invullen of bedrag o.b.v. regieuren invullen.</t>
        </r>
      </text>
    </comment>
    <comment ref="L28" authorId="0" shapeId="0" xr:uid="{00000000-0006-0000-0200-000007000000}">
      <text>
        <r>
          <rPr>
            <sz val="9"/>
            <color indexed="81"/>
            <rFont val="Tahoma"/>
            <family val="2"/>
          </rPr>
          <t>Aantal meters invullen dat er langs de sleuf grond in depot is gezet welke is afgedekt met folie.</t>
        </r>
      </text>
    </comment>
    <comment ref="L29" authorId="0" shapeId="0" xr:uid="{00000000-0006-0000-0200-000008000000}">
      <text>
        <r>
          <rPr>
            <sz val="9"/>
            <color indexed="81"/>
            <rFont val="Tahoma"/>
            <family val="2"/>
          </rPr>
          <t>Offertebedrag invullen of bedrag o.b.v. regieuren invullen.</t>
        </r>
      </text>
    </comment>
    <comment ref="L32" authorId="0" shapeId="0" xr:uid="{00000000-0006-0000-0200-000009000000}">
      <text>
        <r>
          <rPr>
            <sz val="9"/>
            <color indexed="81"/>
            <rFont val="Tahoma"/>
            <family val="2"/>
          </rPr>
          <t>Offertebedrag invullen of bedrag o.b.v. regieuren invullen.</t>
        </r>
      </text>
    </comment>
    <comment ref="L33" authorId="0" shapeId="0" xr:uid="{00000000-0006-0000-0200-00000A000000}">
      <text>
        <r>
          <rPr>
            <sz val="9"/>
            <color indexed="81"/>
            <rFont val="Tahoma"/>
            <family val="2"/>
          </rPr>
          <t>Offertebedrag invullen of bedrag o.b.v. regieuren invullen.</t>
        </r>
      </text>
    </comment>
    <comment ref="L35" authorId="0" shapeId="0" xr:uid="{00000000-0006-0000-0200-00000B000000}">
      <text>
        <r>
          <rPr>
            <sz val="9"/>
            <color indexed="81"/>
            <rFont val="Tahoma"/>
            <family val="2"/>
          </rPr>
          <t>Offertebedrag invullen of bedrag o.b.v. regieuren invullen.</t>
        </r>
      </text>
    </comment>
    <comment ref="L36" authorId="0" shapeId="0" xr:uid="{00000000-0006-0000-0200-00000C000000}">
      <text>
        <r>
          <rPr>
            <sz val="9"/>
            <color indexed="81"/>
            <rFont val="Tahoma"/>
            <family val="2"/>
          </rPr>
          <t>Offertebedrag invullen of bedrag o.b.v. regieuren invullen.</t>
        </r>
      </text>
    </comment>
    <comment ref="L39" authorId="0" shapeId="0" xr:uid="{00000000-0006-0000-0200-00000D000000}">
      <text>
        <r>
          <rPr>
            <sz val="9"/>
            <color indexed="81"/>
            <rFont val="Tahoma"/>
            <family val="2"/>
          </rPr>
          <t>Aantal dagdelen (4uur) invullen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Windhouwer, Gert</author>
  </authors>
  <commentList>
    <comment ref="M10" authorId="0" shapeId="0" xr:uid="{00000000-0006-0000-0300-000001000000}">
      <text>
        <r>
          <rPr>
            <b/>
            <sz val="9"/>
            <color indexed="81"/>
            <rFont val="Tahoma"/>
            <family val="2"/>
          </rPr>
          <t>Windhouwer, Gert:</t>
        </r>
        <r>
          <rPr>
            <sz val="9"/>
            <color indexed="81"/>
            <rFont val="Tahoma"/>
            <family val="2"/>
          </rPr>
          <t xml:space="preserve">
95% schoon en 5% verontreinigd, maar wel 100% controle (maal factor 20)
1.1 t/m 1.1.1b</t>
        </r>
      </text>
    </comment>
    <comment ref="E57" authorId="0" shapeId="0" xr:uid="{00000000-0006-0000-0300-000002000000}">
      <text>
        <r>
          <rPr>
            <b/>
            <sz val="9"/>
            <color indexed="81"/>
            <rFont val="Tahoma"/>
            <family val="2"/>
          </rPr>
          <t>Windhouwer, Gert:</t>
        </r>
        <r>
          <rPr>
            <sz val="9"/>
            <color indexed="81"/>
            <rFont val="Tahoma"/>
            <family val="2"/>
          </rPr>
          <t xml:space="preserve">
Als op invulblad BRL7000 van toepassing, dan Ja anders Nee. Geldt voor alle Ja en optie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Windhouwer, Gert</author>
  </authors>
  <commentList>
    <comment ref="M10" authorId="0" shapeId="0" xr:uid="{00000000-0006-0000-0400-000001000000}">
      <text>
        <r>
          <rPr>
            <b/>
            <sz val="9"/>
            <color indexed="81"/>
            <rFont val="Tahoma"/>
            <family val="2"/>
          </rPr>
          <t>Windhouwer, Gert:</t>
        </r>
        <r>
          <rPr>
            <sz val="9"/>
            <color indexed="81"/>
            <rFont val="Tahoma"/>
            <family val="2"/>
          </rPr>
          <t xml:space="preserve">
95% schoon en 5% verontreinigd, maar wel 100% controle (maal factor 20)
1.1 t/m 1.1.1b</t>
        </r>
      </text>
    </comment>
    <comment ref="E58" authorId="0" shapeId="0" xr:uid="{00000000-0006-0000-0400-000002000000}">
      <text>
        <r>
          <rPr>
            <b/>
            <sz val="9"/>
            <color indexed="81"/>
            <rFont val="Tahoma"/>
            <family val="2"/>
          </rPr>
          <t>Windhouwer, Gert:</t>
        </r>
        <r>
          <rPr>
            <sz val="9"/>
            <color indexed="81"/>
            <rFont val="Tahoma"/>
            <family val="2"/>
          </rPr>
          <t xml:space="preserve">
Als op invulblad BRL7000 van toepassing, dan Ja anders Nee. Geldt voor alle Ja en optie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Windhouwer, Gert</author>
  </authors>
  <commentList>
    <comment ref="M10" authorId="0" shapeId="0" xr:uid="{00000000-0006-0000-0500-000001000000}">
      <text>
        <r>
          <rPr>
            <b/>
            <sz val="9"/>
            <color indexed="81"/>
            <rFont val="Tahoma"/>
            <family val="2"/>
          </rPr>
          <t>Windhouwer, Gert:</t>
        </r>
        <r>
          <rPr>
            <sz val="9"/>
            <color indexed="81"/>
            <rFont val="Tahoma"/>
            <family val="2"/>
          </rPr>
          <t xml:space="preserve">
95% schoon en 5% verontreinigd, maar wel 100% controle (maal factor 20)
1.1 t/m 1.1.1b</t>
        </r>
      </text>
    </comment>
    <comment ref="E58" authorId="0" shapeId="0" xr:uid="{00000000-0006-0000-0500-000002000000}">
      <text>
        <r>
          <rPr>
            <b/>
            <sz val="9"/>
            <color indexed="81"/>
            <rFont val="Tahoma"/>
            <family val="2"/>
          </rPr>
          <t>Windhouwer, Gert:</t>
        </r>
        <r>
          <rPr>
            <sz val="9"/>
            <color indexed="81"/>
            <rFont val="Tahoma"/>
            <family val="2"/>
          </rPr>
          <t xml:space="preserve">
Als op invulblad BRL7000 van toepassing, dan Ja anders Nee. Geldt voor alle Ja en optie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Windhouwer, Gert</author>
  </authors>
  <commentList>
    <comment ref="M10" authorId="0" shapeId="0" xr:uid="{00000000-0006-0000-0600-000001000000}">
      <text>
        <r>
          <rPr>
            <b/>
            <sz val="9"/>
            <color indexed="81"/>
            <rFont val="Tahoma"/>
            <family val="2"/>
          </rPr>
          <t>Windhouwer, Gert:</t>
        </r>
        <r>
          <rPr>
            <sz val="9"/>
            <color indexed="81"/>
            <rFont val="Tahoma"/>
            <family val="2"/>
          </rPr>
          <t xml:space="preserve">
95% schoon en 5% verontreinigd, maar wel 100% controle (maal factor 20)
1.1 t/m 1.1.1b</t>
        </r>
      </text>
    </comment>
    <comment ref="E58" authorId="0" shapeId="0" xr:uid="{00000000-0006-0000-0600-000002000000}">
      <text>
        <r>
          <rPr>
            <b/>
            <sz val="9"/>
            <color indexed="81"/>
            <rFont val="Tahoma"/>
            <family val="2"/>
          </rPr>
          <t>Windhouwer, Gert:</t>
        </r>
        <r>
          <rPr>
            <sz val="9"/>
            <color indexed="81"/>
            <rFont val="Tahoma"/>
            <family val="2"/>
          </rPr>
          <t xml:space="preserve">
Als op invulblad BRL7000 van toepassing, dan Ja anders Nee. Geldt voor alle Ja en optie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Windhouwer, Gert</author>
  </authors>
  <commentList>
    <comment ref="M10" authorId="0" shapeId="0" xr:uid="{00000000-0006-0000-0700-000001000000}">
      <text>
        <r>
          <rPr>
            <b/>
            <sz val="9"/>
            <color indexed="81"/>
            <rFont val="Tahoma"/>
            <family val="2"/>
          </rPr>
          <t>Windhouwer, Gert:</t>
        </r>
        <r>
          <rPr>
            <sz val="9"/>
            <color indexed="81"/>
            <rFont val="Tahoma"/>
            <family val="2"/>
          </rPr>
          <t xml:space="preserve">
95% schoon en 5% verontreinigd, maar wel 100% controle (maal factor 20)
1.1 t/m 1.1.1b</t>
        </r>
      </text>
    </comment>
    <comment ref="E58" authorId="0" shapeId="0" xr:uid="{00000000-0006-0000-0700-000002000000}">
      <text>
        <r>
          <rPr>
            <b/>
            <sz val="9"/>
            <color indexed="81"/>
            <rFont val="Tahoma"/>
            <family val="2"/>
          </rPr>
          <t>Windhouwer, Gert:</t>
        </r>
        <r>
          <rPr>
            <sz val="9"/>
            <color indexed="81"/>
            <rFont val="Tahoma"/>
            <family val="2"/>
          </rPr>
          <t xml:space="preserve">
Als op invulblad BRL7000 van toepassing, dan Ja anders Nee. Geldt voor alle Ja en optie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Windhouwer, Gert</author>
  </authors>
  <commentList>
    <comment ref="M10" authorId="0" shapeId="0" xr:uid="{00000000-0006-0000-0800-000001000000}">
      <text>
        <r>
          <rPr>
            <b/>
            <sz val="9"/>
            <color indexed="81"/>
            <rFont val="Tahoma"/>
            <family val="2"/>
          </rPr>
          <t>Windhouwer, Gert:</t>
        </r>
        <r>
          <rPr>
            <sz val="9"/>
            <color indexed="81"/>
            <rFont val="Tahoma"/>
            <family val="2"/>
          </rPr>
          <t xml:space="preserve">
95% schoon en 5% verontreinigd, maar wel 100% controle (maal factor 20)
1.1 t/m 1.1.1b</t>
        </r>
      </text>
    </comment>
    <comment ref="E58" authorId="0" shapeId="0" xr:uid="{00000000-0006-0000-0800-000002000000}">
      <text>
        <r>
          <rPr>
            <b/>
            <sz val="9"/>
            <color indexed="81"/>
            <rFont val="Tahoma"/>
            <family val="2"/>
          </rPr>
          <t>Windhouwer, Gert:</t>
        </r>
        <r>
          <rPr>
            <sz val="9"/>
            <color indexed="81"/>
            <rFont val="Tahoma"/>
            <family val="2"/>
          </rPr>
          <t xml:space="preserve">
Als op invulblad BRL7000 van toepassing, dan Ja anders Nee. Geldt voor alle Ja en optie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Windhouwer, Gert</author>
  </authors>
  <commentList>
    <comment ref="E58" authorId="0" shapeId="0" xr:uid="{00000000-0006-0000-0900-000001000000}">
      <text>
        <r>
          <rPr>
            <b/>
            <sz val="9"/>
            <color indexed="81"/>
            <rFont val="Tahoma"/>
            <family val="2"/>
          </rPr>
          <t>Windhouwer, Gert:</t>
        </r>
        <r>
          <rPr>
            <sz val="9"/>
            <color indexed="81"/>
            <rFont val="Tahoma"/>
            <family val="2"/>
          </rPr>
          <t xml:space="preserve">
Als op invulblad BRL7000 van toepassing, dan Ja anders Nee. Geldt voor alle Ja en optie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Windhouwer, Gert</author>
  </authors>
  <commentList>
    <comment ref="P10" authorId="0" shapeId="0" xr:uid="{F9BCC1D6-E876-459E-A570-A42CD93BFED2}">
      <text>
        <r>
          <rPr>
            <b/>
            <sz val="9"/>
            <color indexed="81"/>
            <rFont val="Tahoma"/>
            <family val="2"/>
          </rPr>
          <t>Windhouwer, Gert:</t>
        </r>
        <r>
          <rPr>
            <sz val="9"/>
            <color indexed="81"/>
            <rFont val="Tahoma"/>
            <family val="2"/>
          </rPr>
          <t xml:space="preserve">
95% schoon en 5% verontreinigd, maar wel 100% controle (maal factor 20)
1.1 t/m 1.1.1b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<sst xmlns="http://schemas.openxmlformats.org/spreadsheetml/2006/main" count="5606" uniqueCount="488">
  <si>
    <t xml:space="preserve">Controleer of je de juiste versie van de verrekentool voor je hebt. </t>
  </si>
  <si>
    <t>Voor de actuele versie van deze verrekentool wordt verwezen naar de bestekkensite</t>
  </si>
  <si>
    <t>link</t>
  </si>
  <si>
    <t>Tabblad 'Invul- en verrekenblad'</t>
  </si>
  <si>
    <t>Vul de algemene projectgegevens in, zoals:</t>
  </si>
  <si>
    <t>·         Projectnaam;</t>
  </si>
  <si>
    <t>·         Projectnummer opdrachtgever(s);</t>
  </si>
  <si>
    <t>·         Contactpersoon opdrachtgever(s);</t>
  </si>
  <si>
    <t>·         Projectnummer aannemer;</t>
  </si>
  <si>
    <t>·         Contactpersoon aannemer.</t>
  </si>
  <si>
    <t>Daarbij zijn de volgende keuzevelden ingebouwd (drop-down menu's):</t>
  </si>
  <si>
    <t>Soort project (keuze uit drie opties, afhankelijk van de aard van de werkzaamheden):</t>
  </si>
  <si>
    <t>·         1.1 Aansluiting + Net; een gecombineerd project waarin zowel netwerkzaamheden plaatsvinden als ook werkzaamheden aan de aansluitingen.</t>
  </si>
  <si>
    <t>·         1.1a Aansluitingen; een project waarin enkel werkzaamheden plaatsvinden aan 1 of meerdere aansluitingen.</t>
  </si>
  <si>
    <t>·         1.1b Net; een project waarin enkel werkzaamheden plaatsvinden aan het net.</t>
  </si>
  <si>
    <t>BRL7000 van toepassing:</t>
  </si>
  <si>
    <r>
      <t xml:space="preserve">·         Kies voor optie 'Ja' indien op de werkzaamheden de BRL7000 </t>
    </r>
    <r>
      <rPr>
        <b/>
        <u/>
        <sz val="11"/>
        <color theme="1"/>
        <rFont val="Calibri"/>
        <family val="2"/>
        <scheme val="minor"/>
      </rPr>
      <t xml:space="preserve">wel </t>
    </r>
    <r>
      <rPr>
        <sz val="11"/>
        <color theme="1"/>
        <rFont val="Calibri"/>
        <family val="2"/>
        <scheme val="minor"/>
      </rPr>
      <t>van toepassing is</t>
    </r>
  </si>
  <si>
    <r>
      <t xml:space="preserve">·         Kies voor optie 'Nee' indien op de werkzaamheden de BRL7000 </t>
    </r>
    <r>
      <rPr>
        <b/>
        <u/>
        <sz val="11"/>
        <color theme="1"/>
        <rFont val="Calibri"/>
        <family val="2"/>
        <scheme val="minor"/>
      </rPr>
      <t>niet</t>
    </r>
    <r>
      <rPr>
        <sz val="11"/>
        <color theme="1"/>
        <rFont val="Calibri"/>
        <family val="2"/>
        <scheme val="minor"/>
      </rPr>
      <t xml:space="preserve"> van toepassing is</t>
    </r>
  </si>
  <si>
    <r>
      <rPr>
        <u/>
        <sz val="11"/>
        <color theme="1"/>
        <rFont val="Calibri"/>
        <family val="2"/>
        <scheme val="minor"/>
      </rPr>
      <t>Let op</t>
    </r>
    <r>
      <rPr>
        <sz val="11"/>
        <color theme="1"/>
        <rFont val="Calibri"/>
        <family val="2"/>
        <scheme val="minor"/>
      </rPr>
      <t>: wees op de hoogte van de wijziging in de protocollen als gevolg van de Omgevingswet.
Raadpleeg de website van SIKB.nl voor de meest recente teksten en toelichting.</t>
    </r>
  </si>
  <si>
    <t>Bepalen veiligheidsklasse(n):</t>
  </si>
  <si>
    <t>Project:</t>
  </si>
  <si>
    <t xml:space="preserve">De CROW kent zes veiligheidsklassen (Oranje Niet VLuchtig, Oranje Vluchtig, Rood Niet VLuchtig, Rood Vluchtig, Zwart Niet Vluchtig &amp; Zwart Vluchtig). </t>
  </si>
  <si>
    <t>Daarnaast kan het voorkomen dat er geen veiligheidsklasse van toepassing is maar wel een (ernstig) geval van bodemverontreiniging, zoals bedoeld in Besluit Activiteiten Leefomgeving (Bal). Daarvoor is een nieuwe categorie gemaakt: 'Alleen MBA Graven TU'.</t>
  </si>
  <si>
    <t>De Tool is geschikt voor het gebruik van meerdere veiligheidsklassen in één project. Dit kan alleen gebruikt worden als het project gefaseerd uitgevoerd kan worden, waarbij er niet continu gewisseld wordt tussen werken in de ene veiligheidsklasse en werken in de andere veiligheidsklasse.</t>
  </si>
  <si>
    <t>Dat betekent dat wanneer je een paar dagen in de ene veiligheidsklassen werkt en daarna vervolgens een aantal dagen in een andere veiligheidsklasse, je beide klassen selecteert. Je vult dan per klasse het aantal dagen in dat je erin werkzaam bent geweest.</t>
  </si>
  <si>
    <t>Wissel je voortdurend tussen verschillende klassen, dan vul je enkel de zwaarste klasse in.</t>
  </si>
  <si>
    <t>Enige uitzondering is dat er geen combinatie mogelijk is tussen één van de zes veiligheidsklassen en de klasse 'Alleen MBA Graven TU'. Bij een combinatie van meerdere klasse meldt de tool dit met:</t>
  </si>
  <si>
    <t>Dagen werk:</t>
  </si>
  <si>
    <t>Vul hier in hoelang er gewerkt is in de desbetreffende klasse. Wanneer er in meerdere klassen is gewerkt dan dienen de dagen dienovereenkomstig te worden verdeeld.</t>
  </si>
  <si>
    <t>Gemiddeld aantal medewerkers op het project (gebaseerd op DLP-logboek):</t>
  </si>
  <si>
    <t>Hier vult u het gemiddelde aantal medewerkers is dat er gedurende de ingevoerde dagen op het project gewerkt hebben. Ter bepaling van het juist aantal medewerkers dient het logboek te worden gebruikt dat door de aannemer (DLP/(R-) DLP of KVP) is bijgehouden.</t>
  </si>
  <si>
    <t xml:space="preserve">NB: De kraanmachinist hier niet meenemen, die komt in de volgende kolom. </t>
  </si>
  <si>
    <t>Gemiddeld aantal kranen (inclusief machinist):</t>
  </si>
  <si>
    <t>Vul hier in, net zoals in de vorige kolom, het gemiddeld aantal kranen (tarief is inclusief kraanmachinist) die gedurende de ingevoerde dagen op het project hebben gewerkt.</t>
  </si>
  <si>
    <t>Strekkende meter afzetting (skigaas, dranghekken of bouwhekken):</t>
  </si>
  <si>
    <t>Is of zijn er op het project skigaas, dranghekken of bouwhekken gebruikt, vul dan hier in het aantal meters dat u heeft gehuurd/gebruikt. De tool houdt al rekening met het verplaatsen van het hekwerk.</t>
  </si>
  <si>
    <t>NB: Let er hierbij op dat wanneer u de hekken gedurende het project verplaats u dit niet als (extra) lengte opgeeft.</t>
  </si>
  <si>
    <t>Bepalen sleufcombinaties:</t>
  </si>
  <si>
    <t>Verdeling van kosten wanneer in combi wordt gewerkt (meerdere opdrachtgevers:</t>
  </si>
  <si>
    <t>Wanneer u werkt voor meerdere opdrachtgevers (combi) komt het voor dat de verschillende disciplines niet altijd in het zelfde tracé liggen. Denk hierbij bijvoorbeeld aan de aanhaal routes. De Tool biedt de mogelijkheid om in één project vijf afzonderlijke tracé in te voeren. De kosten worden dan na rato verdeeld over de verschillende opdrachtgevers.</t>
  </si>
  <si>
    <t># meter tracé:</t>
  </si>
  <si>
    <t>In deze kolom vult u in de lengte van trace-1, trace-2, enzovoorts</t>
  </si>
  <si>
    <t>Sleufcombinatie</t>
  </si>
  <si>
    <t>In deze kolom maakt u de keuze uit de combinatie van disciplines die in dit tracé liggen. U heeft hierbij de keuze uit alle varianten die er zijn.</t>
  </si>
  <si>
    <t>Tabblad 'Variabelen'</t>
  </si>
  <si>
    <t>Activeren variabelen:</t>
  </si>
  <si>
    <t>Wanneer een cel rood               gekleurd is dan betekent dit dat deze veiligheidsmaatregel niet van toepassing is in de desbetreffende klasse.</t>
  </si>
  <si>
    <t>Wanneer een cel groen               gekleurd is dan betekent dit dat deze veiligheidsmaatregel altijd genomen moet worden in de desbetreffende veiligheidsklasse.</t>
  </si>
  <si>
    <t>Bij de witte cellen kiest u middels het drop-down menu voor 'ja'               indien de veiligheidsmaatregel genomen/gebruikt is.</t>
  </si>
  <si>
    <t>Voor een aantal veiligheidsmaatregelen geldt dat er geen standaard tarief is overeengekomen en dienen de kosten van deze maatregel ingevuld te worden in de kolom Offerte of m1.</t>
  </si>
  <si>
    <t>De cel kleurt oranje                         wanneer deze veiligheidsmaatregel genomen is.</t>
  </si>
  <si>
    <t>1.1.1 Bodemgegevens niet van Qterra: Wanneer u niet in opdracht van Liander werkt dient u hier altijd de keuze te maken met 'ja'. Wanneer u wel in opdracht van Liander werkt gebruikt u deze cel helemaal niet.</t>
  </si>
  <si>
    <t>8.2.1  Melding MBA graven TU (niet voor Liander van toepassing): Wanneer u niet in opdracht van Liander werkt dient u hier de keuze te maken met 'ja'. Wanneer u wel in opdracht van Liander gebruikt u deze cel helemaal niet.</t>
  </si>
  <si>
    <t xml:space="preserve">8.2.2  Informatie aan bevoegd gezag  (niet voor Liander van toepassing): Wanneer u niet in opdracht van Liander werkt dient u hier de keuze te maken met 'ja'. Wanneer u wel in opdracht van Liander gebruikt u deze cel helemaal niet. </t>
  </si>
  <si>
    <t>8.3 Begeleiding door KVP: Wanneer er begeleiding op het werk is van een KVP’er, dan aangeven hoeveel dagdelen deze KVP’er het werk begeleid heeft. Een dagdeel is een halve dag (vier uur).</t>
  </si>
  <si>
    <t>Voorbeeldproject</t>
  </si>
  <si>
    <t>Het voorbeeldproject is in 2 veiligheidsklasse uitgevoerd (Rood Niet Vluchtig en Rood Vluchtig). In totaal heeft het werk 7 dagen in beslag genomen verdeeld in 5 dagen Rood Niet Vluchtig en 2 dagen Rood VLuching.</t>
  </si>
  <si>
    <t>Er hebben gemiddeld 4 medewerkers en 2 kranen op het project gewerkt en er is gedurende die 7 dagen 40m1 hekwerk gebruikt.</t>
  </si>
  <si>
    <t xml:space="preserve"> Verder zijn de volgende additionele veiligheidsmaatregelen genomen:</t>
  </si>
  <si>
    <t>·         Er is een deco-unit gebruikt voor de 2 dagen dat er is gewerkt in de klasse Rood Vluchtig</t>
  </si>
  <si>
    <t>·         De deco-unit is 1x aan- en afgevoerd (inclusief schoonmaakkosten)</t>
  </si>
  <si>
    <t>·         Er is gebruik gemaakt van bouwhekken in plaats van skigaas of dranghekken.</t>
  </si>
  <si>
    <t>·         De bouw hekken zijn 1x aan- en afgevoerd.</t>
  </si>
  <si>
    <t>De verrekentool heeft voor elke individuele klasse een eigen tabblad.</t>
  </si>
  <si>
    <t>Voor het voorbeeldproject zijn alle details terug te vinden op de tabbladen 'Rood N-VL' en 'Rood VL'.</t>
  </si>
  <si>
    <t>NB: Voor item 8.2 geldt het volgende: Als op invulblad BRL7000 van toepassing, dan Ja anders Nee. Geldt voor alle Ja en optie</t>
  </si>
  <si>
    <t>Maatregelen werken in verontreinigde (land)bodem CROW 400 en BRL 7000</t>
  </si>
  <si>
    <t>LET OP:</t>
  </si>
  <si>
    <t>Gegevens van project</t>
  </si>
  <si>
    <t>Alleen de gele cellen kunnen worden ingevuld</t>
  </si>
  <si>
    <t>Projectnaam</t>
  </si>
  <si>
    <t>Soort project</t>
  </si>
  <si>
    <t>Versienummer:</t>
  </si>
  <si>
    <t>BRL7000 van toepassing
Rijksregel: &gt;25m3 grondverzet én &gt;|</t>
  </si>
  <si>
    <t xml:space="preserve">Versiedatum: </t>
  </si>
  <si>
    <t>Projectnummer opdrachtgever(s)</t>
  </si>
  <si>
    <t>Beheerder:</t>
  </si>
  <si>
    <t>Contactpersoon opdrachtgever(s)</t>
  </si>
  <si>
    <t>Projectnummer aannemer</t>
  </si>
  <si>
    <t>Contactpersoon aannemer</t>
  </si>
  <si>
    <t>Veiligheidsklasse</t>
  </si>
  <si>
    <t>Criteria</t>
  </si>
  <si>
    <r>
      <t xml:space="preserve">Uitvoeringskosten (in </t>
    </r>
    <r>
      <rPr>
        <b/>
        <sz val="8"/>
        <color theme="0"/>
        <rFont val="Arial"/>
        <family val="2"/>
      </rPr>
      <t>€)</t>
    </r>
  </si>
  <si>
    <t>Project (geldende veiligheidsklasse invullen met een '1')</t>
  </si>
  <si>
    <t>Dagen werk in veiligheidsklasse of milieu-eisen</t>
  </si>
  <si>
    <t>Gemiddeld aantal medewerkers op het project (gebaseerd op DLP-logboek)</t>
  </si>
  <si>
    <t>Gemiddeld aantal kranen (inclusief machinist)</t>
  </si>
  <si>
    <t>Strekkende meter afzetting (skigaas, dranghekken of bouwhekken)</t>
  </si>
  <si>
    <t>Alleen MBA Graven TU</t>
  </si>
  <si>
    <t>Oranje Niet Vluchtig</t>
  </si>
  <si>
    <t>Oranje Vluchtig</t>
  </si>
  <si>
    <t>Rood Niet Vluchtig</t>
  </si>
  <si>
    <t>Rood Vluchtig</t>
  </si>
  <si>
    <t>Zwart Niet Vluchtig</t>
  </si>
  <si>
    <t>Zwart Vluchtig</t>
  </si>
  <si>
    <t>Totaal kosten (in €)</t>
  </si>
  <si>
    <t>Gebied</t>
  </si>
  <si>
    <t># meter trace</t>
  </si>
  <si>
    <t>Trace-1</t>
  </si>
  <si>
    <t>Trace-2</t>
  </si>
  <si>
    <t>Trace-3</t>
  </si>
  <si>
    <t>Trace-4</t>
  </si>
  <si>
    <t>Trace-5</t>
  </si>
  <si>
    <t>Totaal meters</t>
  </si>
  <si>
    <t>Kostenverdeling Alle gebieden</t>
  </si>
  <si>
    <t>Betrokken opdrachtgever(s)</t>
  </si>
  <si>
    <t>Betrokkenheid (in %)</t>
  </si>
  <si>
    <t>Kostenverdeling naar betrokkenheid  (in €)</t>
  </si>
  <si>
    <t>Telecom</t>
  </si>
  <si>
    <t>Gas</t>
  </si>
  <si>
    <t>Water</t>
  </si>
  <si>
    <t>Elektra</t>
  </si>
  <si>
    <t>Kabel</t>
  </si>
  <si>
    <t>Totaal betrokkenheid (=100%)</t>
  </si>
  <si>
    <t>Uitgangspunt: Werkzaamheden gericht op het werken aan kabels en leidingen door aannemers</t>
  </si>
  <si>
    <t>ja</t>
  </si>
  <si>
    <t>Variable pakket, bovenop de standaard veiligheidsmaatregelen</t>
  </si>
  <si>
    <t>Oranje N-VL</t>
  </si>
  <si>
    <t>Oranje VL</t>
  </si>
  <si>
    <t>Rood N-VL</t>
  </si>
  <si>
    <t>Rood VL</t>
  </si>
  <si>
    <t>Zwart N-VL</t>
  </si>
  <si>
    <t>Zwart VL</t>
  </si>
  <si>
    <t>Offerte, m1 of dagdelen</t>
  </si>
  <si>
    <t>V&amp;G plan uitvoering</t>
  </si>
  <si>
    <t>1.1.1</t>
  </si>
  <si>
    <t>Bodemgegevens niet van Qterra</t>
  </si>
  <si>
    <t>Deskundigheid</t>
  </si>
  <si>
    <t>2.2.2</t>
  </si>
  <si>
    <r>
      <t xml:space="preserve">Begeleiding van DLP door HVK in geval van calamiteiten. </t>
    </r>
    <r>
      <rPr>
        <sz val="11"/>
        <rFont val="Calibri"/>
        <family val="2"/>
        <scheme val="minor"/>
      </rPr>
      <t>Verrekening op regie achteraf</t>
    </r>
  </si>
  <si>
    <t>€</t>
  </si>
  <si>
    <t>Luchtkwaliteitsmetingen</t>
  </si>
  <si>
    <t>4.1</t>
  </si>
  <si>
    <t>Stofspecifiek  (indien &gt;20% grenswaarde)</t>
  </si>
  <si>
    <t>4.2</t>
  </si>
  <si>
    <t>Personal Sampling (indien aanleiding)</t>
  </si>
  <si>
    <t>4.3</t>
  </si>
  <si>
    <t>Gebruik van PID-meter &gt;10,6 lamp</t>
  </si>
  <si>
    <t>Arbeidshygienische voorzieningen</t>
  </si>
  <si>
    <t>5.1.1</t>
  </si>
  <si>
    <t>Inzet laarzenspoelbak</t>
  </si>
  <si>
    <t>5.1.2</t>
  </si>
  <si>
    <t>Inzet van deco-unit/stromend (stromend water)</t>
  </si>
  <si>
    <t>5.1.2.1</t>
  </si>
  <si>
    <t>Aantal malen aan- en afvoer van de decounit</t>
  </si>
  <si>
    <t>5.2.1</t>
  </si>
  <si>
    <t>Inzet van skigaas</t>
  </si>
  <si>
    <t>5.2.2</t>
  </si>
  <si>
    <t>Inzet van 'drang'hekken (alleen bij uitzondering voor 'Alleen MBA Graven TU')</t>
  </si>
  <si>
    <t>5.2.3</t>
  </si>
  <si>
    <t>Inzet van bouwhekken (alleen bij uitzondering voor 'Alleen MBA Graven TU')</t>
  </si>
  <si>
    <t>5.2.4</t>
  </si>
  <si>
    <t>Hekwerk aanvoer en afvoer (alleen bij uitzondering voor 'Alleen MBA Graven TU')</t>
  </si>
  <si>
    <t>5.3</t>
  </si>
  <si>
    <t>Voorziening nodig om stofvorming te voorkomen</t>
  </si>
  <si>
    <t>Materieel (continue op locatie)</t>
  </si>
  <si>
    <t>6.1.1</t>
  </si>
  <si>
    <t>Filteroverdruksysteem en klimaatbeheersing</t>
  </si>
  <si>
    <t>6.1.2</t>
  </si>
  <si>
    <t>Vonkenvrij systeem</t>
  </si>
  <si>
    <t>6.2.1</t>
  </si>
  <si>
    <t>Depot voorziening folie (6m1 brede folie)</t>
  </si>
  <si>
    <t>m1</t>
  </si>
  <si>
    <t>6.2.2</t>
  </si>
  <si>
    <t>Rijplaat tbv depot vorming (incl aan- en afvoer).</t>
  </si>
  <si>
    <t>PBM pakketten</t>
  </si>
  <si>
    <t>7.1.1</t>
  </si>
  <si>
    <t>Spatwaterdichte overall/klasse 4/brandvertragend</t>
  </si>
  <si>
    <t>7.1.2</t>
  </si>
  <si>
    <t>Afhankelijk adembescherming</t>
  </si>
  <si>
    <t>7.1.3</t>
  </si>
  <si>
    <t>Onafhankelijke adembescherming</t>
  </si>
  <si>
    <t>BRL 7000 (indien geval van ernstige bodemverontreiniging)</t>
  </si>
  <si>
    <t>8.2.1</t>
  </si>
  <si>
    <t>Melding MBA Graven TU (niet van toepassing als de opdrachtgever de melding verzorgt)</t>
  </si>
  <si>
    <t>8.2.2</t>
  </si>
  <si>
    <t>Informatie aan BG aan einde werk (niet van toepassing als de opdrachtgever de eindmelding verzorgt)</t>
  </si>
  <si>
    <t>8.2.3</t>
  </si>
  <si>
    <t>Overleg bevoegd gezag (niet voor Liander van toepassing)</t>
  </si>
  <si>
    <t>8.2.4</t>
  </si>
  <si>
    <t>Afstemming en coordinatiekosten adviesbureaus en MKB (niet voor Liander van toepassing)</t>
  </si>
  <si>
    <t>8.3</t>
  </si>
  <si>
    <t xml:space="preserve">Begeleiding door KVP </t>
  </si>
  <si>
    <t>dagdelen</t>
  </si>
  <si>
    <t>Item</t>
  </si>
  <si>
    <t>Omschrijving maatregelen verontreinigde grond</t>
  </si>
  <si>
    <t>Toelichting</t>
  </si>
  <si>
    <t>Aantal</t>
  </si>
  <si>
    <t>Eenheid</t>
  </si>
  <si>
    <t>Prijs per eenheid (€)</t>
  </si>
  <si>
    <t>Subtotaal (€)</t>
  </si>
  <si>
    <t>1.1  Aansluitingen + Net</t>
  </si>
  <si>
    <t>Beoordeling gegevens door Netbeheerder(s) - Aansluitingen en Net</t>
  </si>
  <si>
    <t xml:space="preserve">Betreft beoordeling aangeleverde info, veiligheidsklasse en Bal-verplichtingen van Qterra. Bij aanleveren door Qterra geen additionele activiteiten voor aannemer. </t>
  </si>
  <si>
    <t>nee</t>
  </si>
  <si>
    <t>Eenmalig</t>
  </si>
  <si>
    <t>1.1a Aansluitingen</t>
  </si>
  <si>
    <t>Beoordeling gegevens door Netbeheerder(s) - Aansluitingen</t>
  </si>
  <si>
    <t>1.1b Net</t>
  </si>
  <si>
    <t>Beoordeling gegevens door Netbeheerder(s) - Net</t>
  </si>
  <si>
    <t>1.1.1  Aanluitingen + Net</t>
  </si>
  <si>
    <t>Bodemgegevens niet Qterra</t>
  </si>
  <si>
    <r>
      <rPr>
        <b/>
        <sz val="8"/>
        <color rgb="FFFF0000"/>
        <rFont val="Calibri"/>
        <family val="2"/>
        <scheme val="minor"/>
      </rPr>
      <t>Meerprijs</t>
    </r>
    <r>
      <rPr>
        <sz val="8"/>
        <rFont val="Calibri"/>
        <family val="2"/>
        <scheme val="minor"/>
      </rPr>
      <t xml:space="preserve"> ten opzichte van </t>
    </r>
    <r>
      <rPr>
        <u/>
        <sz val="8"/>
        <rFont val="Calibri"/>
        <family val="2"/>
        <scheme val="minor"/>
      </rPr>
      <t>1.1 Beoordeling gegevens van Qterra:</t>
    </r>
    <r>
      <rPr>
        <sz val="8"/>
        <rFont val="Calibri"/>
        <family val="2"/>
        <scheme val="minor"/>
      </rPr>
      <t xml:space="preserve">
Kwaliteit of volledigheid onvoldoende wat leidt tot handelingen en kosten voor aannemer. Niet van toepassing voor Liander.</t>
    </r>
  </si>
  <si>
    <t>optie</t>
  </si>
  <si>
    <t>1.2</t>
  </si>
  <si>
    <t>V&amp;G-plan uitvoering (standaard)</t>
  </si>
  <si>
    <t>Uitgangspunt is dat het standaard V&amp;G-plan wordt gebruikt. Als uitgangspunt wordt gehanteerd dat voor Uitvoeringsfase het project specifiek voorblad volstaat en een toetsing MVK</t>
  </si>
  <si>
    <t xml:space="preserve">ja </t>
  </si>
  <si>
    <t>1.2.1</t>
  </si>
  <si>
    <t>V&amp;G-plan niet via Project Specifiek Voorblad</t>
  </si>
  <si>
    <r>
      <rPr>
        <b/>
        <sz val="8"/>
        <color rgb="FFFF0000"/>
        <rFont val="Calibri"/>
        <family val="2"/>
        <scheme val="minor"/>
      </rPr>
      <t>Meerprijs</t>
    </r>
    <r>
      <rPr>
        <sz val="8"/>
        <rFont val="Calibri"/>
        <family val="2"/>
        <scheme val="minor"/>
      </rPr>
      <t xml:space="preserve"> ten opzichte </t>
    </r>
    <r>
      <rPr>
        <u/>
        <sz val="8"/>
        <rFont val="Calibri"/>
        <family val="2"/>
        <scheme val="minor"/>
      </rPr>
      <t>1.2 V&amp;G-plan uitvoering (standaard)</t>
    </r>
    <r>
      <rPr>
        <sz val="8"/>
        <rFont val="Calibri"/>
        <family val="2"/>
        <scheme val="minor"/>
      </rPr>
      <t>:
Opstellen van een specifiek V&amp;G-plan op grond van aard  (CM en/of vluchtig) en concentratie verontreinigingen indien nodig gecombineerd met een uitvoeringsplan als bedoeld in de BRL 7000.</t>
    </r>
  </si>
  <si>
    <t>1.2.2</t>
  </si>
  <si>
    <t>Toetsing door HVK</t>
  </si>
  <si>
    <r>
      <t xml:space="preserve">Meerprijs ten opzichte </t>
    </r>
    <r>
      <rPr>
        <u/>
        <sz val="8"/>
        <rFont val="Calibri"/>
        <family val="2"/>
        <scheme val="minor"/>
      </rPr>
      <t>1.2 V&amp;G-plan uitvoering (standaard)</t>
    </r>
    <r>
      <rPr>
        <sz val="8"/>
        <rFont val="Calibri"/>
        <family val="2"/>
        <scheme val="minor"/>
      </rPr>
      <t>:
Toetsing van het V&amp;G-plan door HVK in plaats van MVK</t>
    </r>
  </si>
  <si>
    <t>2.1.1</t>
  </si>
  <si>
    <t>Operationele begeleiding door DLP/KVP</t>
  </si>
  <si>
    <t xml:space="preserve">Betreft combifunctie met KVP-er, inclusief bodemvochtmeter. Alleen van toepassing in een werk in VL O-NVL, O-VL en R N-VL én BRL 7000. </t>
  </si>
  <si>
    <t>dag</t>
  </si>
  <si>
    <t>2.1.2</t>
  </si>
  <si>
    <t>Operationele begeleiding door DLP-R/KVP</t>
  </si>
  <si>
    <t xml:space="preserve">Extra eisen aan deskundigheid van DLP is vereist (registratie) en inzet PID-meter. Alleen van toepassing in een werk in VL R VL, ZW N-VL en ZW VL én BRL 7000. </t>
  </si>
  <si>
    <t>2.1.3</t>
  </si>
  <si>
    <t>Operationele begeleiding door DLP</t>
  </si>
  <si>
    <t xml:space="preserve">Betreft alleen een inzet van DLP in een veiligheidsklasse VL O-NVL, O-VL en R N-VL. Hier is dan geen noodzaak om de BRL 7000 erkenning te gebruiken. </t>
  </si>
  <si>
    <t>2.1.4</t>
  </si>
  <si>
    <t>Operationele begeleiding door DLP-R</t>
  </si>
  <si>
    <t xml:space="preserve">Betreft alleen een inzet van DLP in een veiligheidsklasse VL R VL, ZW N-VL en ZW VL. Hier is dan geen noodzaak om de BRL 7000 erkenning te gebruiken. </t>
  </si>
  <si>
    <t>2.2</t>
  </si>
  <si>
    <t xml:space="preserve">Begeleiding van DLP door MVK </t>
  </si>
  <si>
    <t>Betreft vooral afstemming aan de hand van het logboek, afwijkingen en bijzonderheden. Bereken 0,05 uur MVK per uur DLP</t>
  </si>
  <si>
    <t>2.2.1</t>
  </si>
  <si>
    <t xml:space="preserve">Begeleiding van DLP door HVK </t>
  </si>
  <si>
    <t>Aan de hand van de aard en concentratie van de verontreinigingen wordt de begeleiding van de DLP uitgevoerd door een HVK met aantoonbare ervaring/kennis/kunde. Bereken 0,05 uur HVK per uur DLP</t>
  </si>
  <si>
    <r>
      <t xml:space="preserve">Begeleiding van DLP door HVK in geval van calamiteiten. </t>
    </r>
    <r>
      <rPr>
        <sz val="8"/>
        <color rgb="FFFF0000"/>
        <rFont val="Calibri"/>
        <family val="2"/>
        <scheme val="minor"/>
      </rPr>
      <t>Verrekening op regie achteraf</t>
    </r>
  </si>
  <si>
    <r>
      <t xml:space="preserve">Meerprijs ten opzicht van </t>
    </r>
    <r>
      <rPr>
        <u/>
        <sz val="8"/>
        <rFont val="Calibri"/>
        <family val="2"/>
        <scheme val="minor"/>
      </rPr>
      <t>2.2 Begeleiding van DLP door MVK</t>
    </r>
    <r>
      <rPr>
        <sz val="8"/>
        <rFont val="Calibri"/>
        <family val="2"/>
        <scheme val="minor"/>
      </rPr>
      <t>:
Betreft de begeleiding door HVK ten gevolge van ongevallen/calamiteiten gerelateerd aan verontreinigde grond (bijv. onwel worden) die niet onder de reguliere begeleiding kunnen worden geschaard.</t>
    </r>
    <r>
      <rPr>
        <sz val="8"/>
        <color rgb="FFFF0000"/>
        <rFont val="Calibri"/>
        <family val="2"/>
        <scheme val="minor"/>
      </rPr>
      <t xml:space="preserve"> Berekening op basis van nacalculatie.</t>
    </r>
  </si>
  <si>
    <t>offerte</t>
  </si>
  <si>
    <t xml:space="preserve">Voorlichting en Instructie </t>
  </si>
  <si>
    <t>3.1</t>
  </si>
  <si>
    <t>Startinstructie door MVK</t>
  </si>
  <si>
    <t>Startinstructie door MVK. Betreft alleen de inzet van de MVK, dus geen 'productieverlies' van de medewerkers (vanuit BEI en VIAG vindt namelijk ook een startvergadering plaats) . Overige uren van MVK worden verrekend via de post 'Begeleiding van DLP door MVK'. Onderdeel van de startinstructie is ook de separate instructie aan de DLP, zodat deze bezoekers kan instrueren.</t>
  </si>
  <si>
    <t>3.1.1</t>
  </si>
  <si>
    <t xml:space="preserve">Startinstructie door HVK </t>
  </si>
  <si>
    <t>Startinstructie wordt door HVK verzorgd op grond van de aard en concentratie van de verontreinigingen. Betreft alleen de inzet van de HVK, dus geen 'productieverlies' van de medewerkers (vanuit BEI en VIAG vindt namelijk ook een startvergadering plaats). Overige uren van HVK worden verrekend via de post 'Begeleiding van DLP door HVK'.
Onderdeel van de startinstructie is ook de separate instructie aan de DLP, zodat deze bezoekers kan instrueren.</t>
  </si>
  <si>
    <r>
      <t xml:space="preserve">Dit komt in uitzonderlijke situaties voor. Dit betreft maatwerk en wordt (indien van toepassing) beschreven in het V&amp;G-plan. Daarom hiervoor géén standaard prijs opgeven. </t>
    </r>
    <r>
      <rPr>
        <sz val="8"/>
        <color rgb="FFFF0000"/>
        <rFont val="Calibri"/>
        <family val="2"/>
        <scheme val="minor"/>
      </rPr>
      <t>Prijs nader overeen te komen (maatwerk)</t>
    </r>
  </si>
  <si>
    <r>
      <t xml:space="preserve">In specifieke situaties dient een sterkere PID-lamp gebruikt te worden. Dit betreft maatwerk en wordt (indien van toepassing) beschreven in het V&amp;G-plan. Daarom hiervoor geen standaard prijs opgeven. </t>
    </r>
    <r>
      <rPr>
        <sz val="8"/>
        <color rgb="FFFF0000"/>
        <rFont val="Calibri"/>
        <family val="2"/>
        <scheme val="minor"/>
      </rPr>
      <t>Prijs nader overeen te komen (maatwerk)</t>
    </r>
  </si>
  <si>
    <r>
      <t xml:space="preserve">Arbeidshygienische voorzieningen 
</t>
    </r>
    <r>
      <rPr>
        <sz val="10"/>
        <color theme="0"/>
        <rFont val="Calibri"/>
        <family val="2"/>
        <scheme val="minor"/>
      </rPr>
      <t>(kosten incl. alle voorbereidende, in stand houdende en coördinerende handelingen)</t>
    </r>
  </si>
  <si>
    <t>5.1</t>
  </si>
  <si>
    <t>Basishygiëne</t>
  </si>
  <si>
    <t>Bestaat uit schaftkeet &amp; toilet (alleen bij projecten), was- en schoonmaakgelegenheid (water, zeep, etc), voorzieningen ter voorkoming stofvorming</t>
  </si>
  <si>
    <r>
      <t xml:space="preserve">Betreft </t>
    </r>
    <r>
      <rPr>
        <b/>
        <sz val="8"/>
        <color rgb="FFFF0000"/>
        <rFont val="Calibri"/>
        <family val="2"/>
        <scheme val="minor"/>
      </rPr>
      <t>meerprijs</t>
    </r>
    <r>
      <rPr>
        <sz val="8"/>
        <rFont val="Calibri"/>
        <family val="2"/>
        <scheme val="minor"/>
      </rPr>
      <t xml:space="preserve"> ten opzichte van </t>
    </r>
    <r>
      <rPr>
        <u/>
        <sz val="8"/>
        <rFont val="Calibri"/>
        <family val="2"/>
        <scheme val="minor"/>
      </rPr>
      <t>5.1 Basishygiëne</t>
    </r>
    <r>
      <rPr>
        <sz val="8"/>
        <rFont val="Calibri"/>
        <family val="2"/>
        <scheme val="minor"/>
      </rPr>
      <t>:
Toepassen van laarzenspoelbak (incl. in gebruik houden)</t>
    </r>
  </si>
  <si>
    <t>project</t>
  </si>
  <si>
    <t>Inzet van deco-unit (stromend water)</t>
  </si>
  <si>
    <r>
      <t>Betreft meerprijs ten opzichte van</t>
    </r>
    <r>
      <rPr>
        <u/>
        <sz val="8"/>
        <rFont val="Calibri"/>
        <family val="2"/>
        <scheme val="minor"/>
      </rPr>
      <t xml:space="preserve"> 5.1 Basishygiëne</t>
    </r>
    <r>
      <rPr>
        <sz val="8"/>
        <rFont val="Calibri"/>
        <family val="2"/>
        <scheme val="minor"/>
      </rPr>
      <t>:
Deco-unit is zelfvoorzienend inclusief laarzenspoelbak, installatie, reinigen</t>
    </r>
  </si>
  <si>
    <t>Deco-unit aanvoer en afvoer</t>
  </si>
  <si>
    <t>Is van toepassing op de post 5.1.3</t>
  </si>
  <si>
    <t>5.2</t>
  </si>
  <si>
    <t>Markeren van de werkplek (toegang beperken)</t>
  </si>
  <si>
    <t>Inzet van lint of kettingen incl. bebording en instand houden.</t>
  </si>
  <si>
    <r>
      <t xml:space="preserve">Betreft </t>
    </r>
    <r>
      <rPr>
        <b/>
        <sz val="8"/>
        <color rgb="FFFF0000"/>
        <rFont val="Calibri"/>
        <family val="2"/>
        <scheme val="minor"/>
      </rPr>
      <t>meerprijs</t>
    </r>
    <r>
      <rPr>
        <sz val="8"/>
        <rFont val="Calibri"/>
        <family val="2"/>
        <scheme val="minor"/>
      </rPr>
      <t xml:space="preserve"> ten opzichte van </t>
    </r>
    <r>
      <rPr>
        <u/>
        <sz val="8"/>
        <rFont val="Calibri"/>
        <family val="2"/>
        <scheme val="minor"/>
      </rPr>
      <t>5.2 Markeren van de werkplek (toegang beperken):</t>
    </r>
    <r>
      <rPr>
        <sz val="8"/>
        <rFont val="Calibri"/>
        <family val="2"/>
        <scheme val="minor"/>
      </rPr>
      <t xml:space="preserve">
Toepassen van skigaas in plaats van ketting/lint incl. bebording en instand houden (voorkomen contaminatie).</t>
    </r>
  </si>
  <si>
    <t>mtr</t>
  </si>
  <si>
    <t>Inzet van 'drang'hekken</t>
  </si>
  <si>
    <r>
      <t xml:space="preserve">Betreft </t>
    </r>
    <r>
      <rPr>
        <b/>
        <sz val="8"/>
        <color rgb="FFFF0000"/>
        <rFont val="Calibri"/>
        <family val="2"/>
        <scheme val="minor"/>
      </rPr>
      <t>meerprijs</t>
    </r>
    <r>
      <rPr>
        <sz val="8"/>
        <rFont val="Calibri"/>
        <family val="2"/>
        <scheme val="minor"/>
      </rPr>
      <t xml:space="preserve"> ten opzichte van </t>
    </r>
    <r>
      <rPr>
        <u/>
        <sz val="8"/>
        <rFont val="Calibri"/>
        <family val="2"/>
        <scheme val="minor"/>
      </rPr>
      <t>5.2 Markeren van de werkplek (toegang beperken):</t>
    </r>
    <r>
      <rPr>
        <sz val="8"/>
        <rFont val="Calibri"/>
        <family val="2"/>
        <scheme val="minor"/>
      </rPr>
      <t xml:space="preserve">
Toepassen van dranghekken in plaats van keting/lint incl. bebording en instand houden (voorkomen contaminatie).</t>
    </r>
  </si>
  <si>
    <t>m1/wk</t>
  </si>
  <si>
    <t>Inzet van bouwhekken</t>
  </si>
  <si>
    <r>
      <t xml:space="preserve">Betreft </t>
    </r>
    <r>
      <rPr>
        <b/>
        <sz val="8"/>
        <color rgb="FFFF0000"/>
        <rFont val="Calibri"/>
        <family val="2"/>
        <scheme val="minor"/>
      </rPr>
      <t>meerprijs</t>
    </r>
    <r>
      <rPr>
        <sz val="8"/>
        <rFont val="Calibri"/>
        <family val="2"/>
        <scheme val="minor"/>
      </rPr>
      <t xml:space="preserve"> ten opzichte van </t>
    </r>
    <r>
      <rPr>
        <u/>
        <sz val="8"/>
        <rFont val="Calibri"/>
        <family val="2"/>
        <scheme val="minor"/>
      </rPr>
      <t>5.2 Markeren van de werkplek (toegang beperken):</t>
    </r>
    <r>
      <rPr>
        <sz val="8"/>
        <rFont val="Calibri"/>
        <family val="2"/>
        <scheme val="minor"/>
      </rPr>
      <t xml:space="preserve">
Toepassen van bouwhekken in plaats van ketting/lint incl. bebording en instand houden (voorkomen contaminatie vanuit maatwerkregels).</t>
    </r>
  </si>
  <si>
    <t>st/wk</t>
  </si>
  <si>
    <t>Hekwerk aanvoer en afvoer</t>
  </si>
  <si>
    <t>Is van toepassing op de posten 5.2.2 en 5.2.3</t>
  </si>
  <si>
    <t>keer</t>
  </si>
  <si>
    <t>Geen additionele kosten opnemen aan de hand van de omvang/ looptijd van de klus, bodemsamenstelling en jaargetijde</t>
  </si>
  <si>
    <t>6.1</t>
  </si>
  <si>
    <t>Materieel zonder filteroverdruksysteem en klimaatbeheersing</t>
  </si>
  <si>
    <t>Inzet van standaard graafmachine zonder overdruk- en klimaatbeheersingsinstallatie maar met laarzenpennen</t>
  </si>
  <si>
    <r>
      <t xml:space="preserve">Betreft meerprijs ten opzichte van </t>
    </r>
    <r>
      <rPr>
        <u/>
        <sz val="8"/>
        <rFont val="Calibri"/>
        <family val="2"/>
        <scheme val="minor"/>
      </rPr>
      <t xml:space="preserve">6.1 Materieel zonder filteroverdruksysteem en klimaatbeheersing:
</t>
    </r>
    <r>
      <rPr>
        <sz val="8"/>
        <rFont val="Calibri"/>
        <family val="2"/>
        <scheme val="minor"/>
      </rPr>
      <t>Inzet van</t>
    </r>
    <r>
      <rPr>
        <u/>
        <sz val="8"/>
        <rFont val="Calibri"/>
        <family val="2"/>
        <scheme val="minor"/>
      </rPr>
      <t xml:space="preserve"> </t>
    </r>
    <r>
      <rPr>
        <sz val="8"/>
        <rFont val="Calibri"/>
        <family val="2"/>
        <scheme val="minor"/>
      </rPr>
      <t xml:space="preserve">filteroverdruk en klimaatbeheersing op materieel incl. verbruikmaterialen. </t>
    </r>
  </si>
  <si>
    <r>
      <t xml:space="preserve">Betreft meerprijs ten opzichte van </t>
    </r>
    <r>
      <rPr>
        <u/>
        <sz val="8"/>
        <rFont val="Calibri"/>
        <family val="2"/>
        <scheme val="minor"/>
      </rPr>
      <t xml:space="preserve">6.1 Materieel zonder filteroverdruksysteem en klimaatbeheersing:
</t>
    </r>
    <r>
      <rPr>
        <sz val="8"/>
        <rFont val="Calibri"/>
        <family val="2"/>
        <scheme val="minor"/>
      </rPr>
      <t>Inzet van</t>
    </r>
    <r>
      <rPr>
        <u/>
        <sz val="8"/>
        <rFont val="Calibri"/>
        <family val="2"/>
        <scheme val="minor"/>
      </rPr>
      <t xml:space="preserve"> </t>
    </r>
    <r>
      <rPr>
        <sz val="8"/>
        <rFont val="Calibri"/>
        <family val="2"/>
        <scheme val="minor"/>
      </rPr>
      <t>vonkenvrijsysteem</t>
    </r>
  </si>
  <si>
    <t>Depot voorziening folie.</t>
  </si>
  <si>
    <t>Op locatie, naast de sleuf</t>
  </si>
  <si>
    <t>Op locatie, naast de sleuf (nog nader uitwerken)</t>
  </si>
  <si>
    <t>6.3</t>
  </si>
  <si>
    <t>Schoonmaakkosten materieel</t>
  </si>
  <si>
    <t>Zorgen dat het materieel de locatie schoon verlaat</t>
  </si>
  <si>
    <t>Per kraan</t>
  </si>
  <si>
    <t>7.1</t>
  </si>
  <si>
    <t xml:space="preserve">Standaard PBM-pakket </t>
  </si>
  <si>
    <t>Overall (dichtgeweven katoen of wegwerp (type 5/6), werkhandschoenen (nitril). Bij brandgevaar wordt zoveel als mogelijk een dichtgewezen katoenen overall gebruikt. In dat geval wordt er van uitgegaan dat de post inclusief het reinigen van de overall betreft. Indien wegwerpoveralls worden gebruikt, wordt voor het verbruik het volgende uitgangspunt gehanteerd: 2 wegwerpoverall pp/pd en 1 paar handschoenen pp/pd.</t>
  </si>
  <si>
    <r>
      <t xml:space="preserve">Betreft meerprijs ten opzichte van </t>
    </r>
    <r>
      <rPr>
        <u/>
        <sz val="8"/>
        <rFont val="Calibri"/>
        <family val="2"/>
        <scheme val="minor"/>
      </rPr>
      <t>7.1 Standaard PBM-pakket</t>
    </r>
    <r>
      <rPr>
        <sz val="8"/>
        <rFont val="Calibri"/>
        <family val="2"/>
        <scheme val="minor"/>
      </rPr>
      <t>:
Spatwaterdichte overall. Uitgangspunt bij deze post is dat deze overall alleen in de natte omstandigheden worden gebruikt en dat overall meerdere dagen herbruikbaar is (geen wegwerpartikel). Prijs nader overeen te komen</t>
    </r>
  </si>
  <si>
    <r>
      <t xml:space="preserve">Betreft meerprijs ten opzichte van </t>
    </r>
    <r>
      <rPr>
        <u/>
        <sz val="8"/>
        <rFont val="Calibri"/>
        <family val="2"/>
        <scheme val="minor"/>
      </rPr>
      <t>7.1 Standaard PBM-pakket</t>
    </r>
    <r>
      <rPr>
        <sz val="8"/>
        <rFont val="Calibri"/>
        <family val="2"/>
        <scheme val="minor"/>
      </rPr>
      <t>:
Betreft het gebruik van afhankelijke adembescherming inclusief filters. Het op voorraad hebben van maskers en filters wordt niet doorgerekend.  Prijs nader overeen te komen</t>
    </r>
  </si>
  <si>
    <r>
      <t xml:space="preserve">Betreft meerprijs ten opzichte van </t>
    </r>
    <r>
      <rPr>
        <u/>
        <sz val="8"/>
        <rFont val="Calibri"/>
        <family val="2"/>
        <scheme val="minor"/>
      </rPr>
      <t>7.1 Standaard PBM-pakket</t>
    </r>
    <r>
      <rPr>
        <sz val="8"/>
        <rFont val="Calibri"/>
        <family val="2"/>
        <scheme val="minor"/>
      </rPr>
      <t>:
Specificeren in offerte (maatwerk)</t>
    </r>
  </si>
  <si>
    <t>BRL 7000</t>
  </si>
  <si>
    <t>8.1</t>
  </si>
  <si>
    <t>Opstellen specificatie op overkoepelend uitvoeringsplan</t>
  </si>
  <si>
    <t>Betreft een specificatie op het overkoepelend uitvoeringsplan BRL 7000 en is alleen van toepassing op de categorie Alleen MBA Graven TU. Alle relevante activiteiten om tot het uitvoeringsplan te komen zijn inbegrepen.
Vanaf klasse oranje gecombineerd met V&amp;G plan</t>
  </si>
  <si>
    <t>Project</t>
  </si>
  <si>
    <t>8.2</t>
  </si>
  <si>
    <t>Coördinatie in het kader van de BRL SIKB 7000 (werkvoorbereider)</t>
  </si>
  <si>
    <t>Dossiervorming, afspraken met opdrachtgever, logboek aanleveren aan opdrachtgever (zie protocol 7007)</t>
  </si>
  <si>
    <r>
      <t xml:space="preserve">Betreft </t>
    </r>
    <r>
      <rPr>
        <b/>
        <sz val="8"/>
        <color rgb="FFFF0000"/>
        <rFont val="Calibri"/>
        <family val="2"/>
        <scheme val="minor"/>
      </rPr>
      <t>meerprijs</t>
    </r>
    <r>
      <rPr>
        <sz val="8"/>
        <rFont val="Calibri"/>
        <family val="2"/>
        <scheme val="minor"/>
      </rPr>
      <t xml:space="preserve"> ten opzichte van </t>
    </r>
    <r>
      <rPr>
        <u/>
        <sz val="8"/>
        <rFont val="Calibri"/>
        <family val="2"/>
        <scheme val="minor"/>
      </rPr>
      <t>8.2 Coördinatie i.h.k.v. de BRL SIKB 7000:</t>
    </r>
    <r>
      <rPr>
        <sz val="8"/>
        <rFont val="Calibri"/>
        <family val="2"/>
        <scheme val="minor"/>
      </rPr>
      <t xml:space="preserve">
Verzamelen informatie, bodeminfo, invullen en indienen meldingsformulier, communicatie bevoeged gezag, OG en MKB.</t>
    </r>
  </si>
  <si>
    <t>Overleg bevoegd gezag (niet van toepassing als de opdrachtgever het overleg voert)</t>
  </si>
  <si>
    <r>
      <t xml:space="preserve">Betreft </t>
    </r>
    <r>
      <rPr>
        <b/>
        <sz val="8"/>
        <color rgb="FFFF0000"/>
        <rFont val="Calibri"/>
        <family val="2"/>
        <scheme val="minor"/>
      </rPr>
      <t>meerprijs</t>
    </r>
    <r>
      <rPr>
        <sz val="8"/>
        <rFont val="Calibri"/>
        <family val="2"/>
        <scheme val="minor"/>
      </rPr>
      <t xml:space="preserve"> ten opzichte van </t>
    </r>
    <r>
      <rPr>
        <u/>
        <sz val="8"/>
        <rFont val="Calibri"/>
        <family val="2"/>
        <scheme val="minor"/>
      </rPr>
      <t>8.2 Coördinatie i.h.k.v. de BRL SIKB 7000</t>
    </r>
    <r>
      <rPr>
        <sz val="8"/>
        <rFont val="Calibri"/>
        <family val="2"/>
        <scheme val="minor"/>
      </rPr>
      <t>:
Afstemmen bevoegd gezag over meldingen, handhaving, etc</t>
    </r>
  </si>
  <si>
    <t>Afstemming en coördinatiekosten adviesbureaus en MKB (niet van toepassing als de opdrachtgever de afstemming en coördinatie verzorgt)</t>
  </si>
  <si>
    <r>
      <t xml:space="preserve">Betreft </t>
    </r>
    <r>
      <rPr>
        <b/>
        <sz val="8"/>
        <color rgb="FFFF0000"/>
        <rFont val="Calibri"/>
        <family val="2"/>
        <scheme val="minor"/>
      </rPr>
      <t>meerprijs</t>
    </r>
    <r>
      <rPr>
        <sz val="8"/>
        <rFont val="Calibri"/>
        <family val="2"/>
        <scheme val="minor"/>
      </rPr>
      <t xml:space="preserve"> ten opzichte van </t>
    </r>
    <r>
      <rPr>
        <u/>
        <sz val="8"/>
        <rFont val="Calibri"/>
        <family val="2"/>
        <scheme val="minor"/>
      </rPr>
      <t>8.2 Coördinatie i.h.k.v. de BRL SIKB 7000</t>
    </r>
    <r>
      <rPr>
        <sz val="8"/>
        <rFont val="Calibri"/>
        <family val="2"/>
        <scheme val="minor"/>
      </rPr>
      <t>:
Per geval verschillend</t>
    </r>
  </si>
  <si>
    <t>Begeleiding door KVP</t>
  </si>
  <si>
    <t>Betreft alleen MBA Graven TU, voor overige veiligheidsklassen, combifunctie met DLP.</t>
  </si>
  <si>
    <t>1/2 dag</t>
  </si>
  <si>
    <t>Toeslag</t>
  </si>
  <si>
    <t>9.1</t>
  </si>
  <si>
    <t>Toeslag medewerkers</t>
  </si>
  <si>
    <t>UItgangspunt bij toeslag: in 5% (10 wd) van gevallen wordt gewerkt in klasse rood en zwart. Tweede uitgangspunt is dat in een jaar maximaal 200 werkbare dagen zitten. In toeslag wordt begrepen: medische keuringen.</t>
  </si>
  <si>
    <t>medew + kraan/dag</t>
  </si>
  <si>
    <t>9.2</t>
  </si>
  <si>
    <t>Vergoeding productieverlies</t>
  </si>
  <si>
    <t>In de stagnatie is begrepen: alle productieverminderende omstandigheden (instructies, tijd van keuringen, instandhouden maatregelen, omkleden, vragen van bevoegde gezagen etc). Stagnatie bedraagt 10% van ploegkosten</t>
  </si>
  <si>
    <t>Oranje niet vluchtig</t>
  </si>
  <si>
    <t>Alleen WBB</t>
  </si>
  <si>
    <t>1.1.1a 
Aansluitingen</t>
  </si>
  <si>
    <t>1.1.1b 
Net</t>
  </si>
  <si>
    <r>
      <rPr>
        <b/>
        <sz val="8"/>
        <color rgb="FFFF0000"/>
        <rFont val="Calibri"/>
        <family val="2"/>
        <scheme val="minor"/>
      </rPr>
      <t>Meerprijs</t>
    </r>
    <r>
      <rPr>
        <sz val="8"/>
        <rFont val="Calibri"/>
        <family val="2"/>
        <scheme val="minor"/>
      </rPr>
      <t xml:space="preserve"> ten opzicht van </t>
    </r>
    <r>
      <rPr>
        <u/>
        <sz val="8"/>
        <rFont val="Calibri"/>
        <family val="2"/>
        <scheme val="minor"/>
      </rPr>
      <t>2.2 Begeleiding van DLP door MVK</t>
    </r>
    <r>
      <rPr>
        <sz val="8"/>
        <rFont val="Calibri"/>
        <family val="2"/>
        <scheme val="minor"/>
      </rPr>
      <t>:
Betreft de begeleiding door HVK ten gevolge van ongevallen/calamiteiten gerelateerd aan verontreinigde grond (bijv. onwel worden) die niet onder de reguliere begeleiding kunnen worden geschaard.</t>
    </r>
    <r>
      <rPr>
        <sz val="8"/>
        <color rgb="FFFF0000"/>
        <rFont val="Calibri"/>
        <family val="2"/>
        <scheme val="minor"/>
      </rPr>
      <t xml:space="preserve"> Berekening op basis van nacalculatie.</t>
    </r>
  </si>
  <si>
    <r>
      <t xml:space="preserve">Betreft </t>
    </r>
    <r>
      <rPr>
        <b/>
        <sz val="8"/>
        <color rgb="FFFF0000"/>
        <rFont val="Calibri"/>
        <family val="2"/>
        <scheme val="minor"/>
      </rPr>
      <t>meerprijs</t>
    </r>
    <r>
      <rPr>
        <sz val="8"/>
        <rFont val="Calibri"/>
        <family val="2"/>
        <scheme val="minor"/>
      </rPr>
      <t xml:space="preserve"> ten opzichte van </t>
    </r>
    <r>
      <rPr>
        <u/>
        <sz val="8"/>
        <rFont val="Calibri"/>
        <family val="2"/>
        <scheme val="minor"/>
      </rPr>
      <t xml:space="preserve">6.1 Materieel zonder filteroverdruksysteem en klimaatbeheersing:
</t>
    </r>
    <r>
      <rPr>
        <sz val="8"/>
        <rFont val="Calibri"/>
        <family val="2"/>
        <scheme val="minor"/>
      </rPr>
      <t>Inzet van</t>
    </r>
    <r>
      <rPr>
        <u/>
        <sz val="8"/>
        <rFont val="Calibri"/>
        <family val="2"/>
        <scheme val="minor"/>
      </rPr>
      <t xml:space="preserve"> </t>
    </r>
    <r>
      <rPr>
        <sz val="8"/>
        <rFont val="Calibri"/>
        <family val="2"/>
        <scheme val="minor"/>
      </rPr>
      <t xml:space="preserve">filteroverdruk en klimaatbeheersing op materieel incl. verbruikmaterialen. </t>
    </r>
  </si>
  <si>
    <t>Betreft meerprijs ten opzichte van 6.1 Materieel zonder filteroverdruksysteem en klimaatbeheersing:
Inzet van vonkenvrijsysteem</t>
  </si>
  <si>
    <r>
      <t xml:space="preserve">Betreft </t>
    </r>
    <r>
      <rPr>
        <b/>
        <sz val="8"/>
        <color rgb="FFFF0000"/>
        <rFont val="Calibri"/>
        <family val="2"/>
        <scheme val="minor"/>
      </rPr>
      <t>meerprijs</t>
    </r>
    <r>
      <rPr>
        <sz val="8"/>
        <rFont val="Calibri"/>
        <family val="2"/>
        <scheme val="minor"/>
      </rPr>
      <t xml:space="preserve"> ten opzichte van </t>
    </r>
    <r>
      <rPr>
        <u/>
        <sz val="8"/>
        <rFont val="Calibri"/>
        <family val="2"/>
        <scheme val="minor"/>
      </rPr>
      <t>7.1 Standaard PBM-pakket</t>
    </r>
    <r>
      <rPr>
        <sz val="8"/>
        <rFont val="Calibri"/>
        <family val="2"/>
        <scheme val="minor"/>
      </rPr>
      <t>:
Spatwaterdichte overall. Uitgangspunt bij deze post is dat deze overall alleen in de natte omstandigheden worden gebruikt en dat overall meerdere dagen herbruikbaar is (geen wegwerpartikel). Prijs nader overeen te komen</t>
    </r>
  </si>
  <si>
    <r>
      <t xml:space="preserve">Betreft </t>
    </r>
    <r>
      <rPr>
        <b/>
        <sz val="8"/>
        <color rgb="FFFF0000"/>
        <rFont val="Calibri"/>
        <family val="2"/>
        <scheme val="minor"/>
      </rPr>
      <t>meerprijs</t>
    </r>
    <r>
      <rPr>
        <sz val="8"/>
        <rFont val="Calibri"/>
        <family val="2"/>
        <scheme val="minor"/>
      </rPr>
      <t xml:space="preserve"> ten opzichte van </t>
    </r>
    <r>
      <rPr>
        <u/>
        <sz val="8"/>
        <rFont val="Calibri"/>
        <family val="2"/>
        <scheme val="minor"/>
      </rPr>
      <t>7.1 Standaard PBM-pakket</t>
    </r>
    <r>
      <rPr>
        <sz val="8"/>
        <rFont val="Calibri"/>
        <family val="2"/>
        <scheme val="minor"/>
      </rPr>
      <t>:
Betreft het gebruik van afhankelijke adembescherming inclusief filters. Het op voorraad hebben van maskers en filters wordt niet doorgerekend.  Prijs nader overeen te komen</t>
    </r>
  </si>
  <si>
    <t>Betreft een specificatie op het overkoepelend uitvoeringsplan BRL 7000 en is alleen van toepassing op de categorie Allen MBA Graven TU. Alle relevante activiteiten om tot het uitvoeringsplan te komen zijn inbegrepen.
Vanaf klasse oranje gecombineerd met V&amp;G plan</t>
  </si>
  <si>
    <r>
      <t xml:space="preserve">Betreft </t>
    </r>
    <r>
      <rPr>
        <b/>
        <sz val="8"/>
        <color rgb="FFFF0000"/>
        <rFont val="Calibri"/>
        <family val="2"/>
        <scheme val="minor"/>
      </rPr>
      <t>meerprijs</t>
    </r>
    <r>
      <rPr>
        <sz val="8"/>
        <rFont val="Calibri"/>
        <family val="2"/>
        <scheme val="minor"/>
      </rPr>
      <t xml:space="preserve"> ten opzichte van </t>
    </r>
    <r>
      <rPr>
        <u/>
        <sz val="8"/>
        <rFont val="Calibri"/>
        <family val="2"/>
        <scheme val="minor"/>
      </rPr>
      <t>8.2 Coördinatie i.h.k.v. de BRL SIKB 7000:</t>
    </r>
    <r>
      <rPr>
        <sz val="8"/>
        <rFont val="Calibri"/>
        <family val="2"/>
        <scheme val="minor"/>
      </rPr>
      <t xml:space="preserve">
Afstemmen bevoegd gezag over meldingen, handhaving, etc</t>
    </r>
  </si>
  <si>
    <t>Oranje vluchtig</t>
  </si>
  <si>
    <t>Begeleiding door KVP'er</t>
  </si>
  <si>
    <t>Betreft alleen klasse groen WBB, voor overige veiligheidsklassen, combifunctie met DLP.</t>
  </si>
  <si>
    <t>Rood niet vluchtig</t>
  </si>
  <si>
    <r>
      <rPr>
        <b/>
        <sz val="8"/>
        <color rgb="FFFF0000"/>
        <rFont val="Calibri"/>
        <family val="2"/>
        <scheme val="minor"/>
      </rPr>
      <t>Meerprijs</t>
    </r>
    <r>
      <rPr>
        <sz val="8"/>
        <color theme="1"/>
        <rFont val="Calibri"/>
        <family val="2"/>
        <scheme val="minor"/>
      </rPr>
      <t xml:space="preserve"> ten opzichte </t>
    </r>
    <r>
      <rPr>
        <u/>
        <sz val="8"/>
        <color theme="1"/>
        <rFont val="Calibri"/>
        <family val="2"/>
        <scheme val="minor"/>
      </rPr>
      <t>1.2 V&amp;G-plan uitvoering (standaard):</t>
    </r>
    <r>
      <rPr>
        <sz val="8"/>
        <color theme="1"/>
        <rFont val="Calibri"/>
        <family val="2"/>
        <scheme val="minor"/>
      </rPr>
      <t xml:space="preserve">
Opstellen van een specifiek V&amp;G-plan op grond van aard  (CM en/of vluchtig) en concentratie verontreinigingen indien nodig gecombineerd met een uitvoeringsplan als bedoeld in de BRL 7000.</t>
    </r>
  </si>
  <si>
    <r>
      <rPr>
        <b/>
        <sz val="8"/>
        <color rgb="FFFF0000"/>
        <rFont val="Calibri"/>
        <family val="2"/>
        <scheme val="minor"/>
      </rPr>
      <t>Meerprijs</t>
    </r>
    <r>
      <rPr>
        <sz val="8"/>
        <rFont val="Calibri"/>
        <family val="2"/>
        <scheme val="minor"/>
      </rPr>
      <t xml:space="preserve"> ten opzichte </t>
    </r>
    <r>
      <rPr>
        <u/>
        <sz val="8"/>
        <rFont val="Calibri"/>
        <family val="2"/>
        <scheme val="minor"/>
      </rPr>
      <t>1.2 V&amp;G-plan uitvoering (standaard):</t>
    </r>
    <r>
      <rPr>
        <sz val="8"/>
        <rFont val="Calibri"/>
        <family val="2"/>
        <scheme val="minor"/>
      </rPr>
      <t xml:space="preserve">
Toetsing van het V&amp;G-plan door HVK in plaats van MVK</t>
    </r>
  </si>
  <si>
    <r>
      <t xml:space="preserve">Betreft </t>
    </r>
    <r>
      <rPr>
        <b/>
        <sz val="8"/>
        <color rgb="FFFF0000"/>
        <rFont val="Calibri"/>
        <family val="2"/>
        <scheme val="minor"/>
      </rPr>
      <t>meerprijs</t>
    </r>
    <r>
      <rPr>
        <sz val="8"/>
        <rFont val="Calibri"/>
        <family val="2"/>
        <scheme val="minor"/>
      </rPr>
      <t xml:space="preserve"> ten opzichte van</t>
    </r>
    <r>
      <rPr>
        <u/>
        <sz val="8"/>
        <rFont val="Calibri"/>
        <family val="2"/>
        <scheme val="minor"/>
      </rPr>
      <t xml:space="preserve"> 5.1 Basishygiëne</t>
    </r>
    <r>
      <rPr>
        <sz val="8"/>
        <rFont val="Calibri"/>
        <family val="2"/>
        <scheme val="minor"/>
      </rPr>
      <t>:
Deco-unit is zelfvoorzienend inclusief laarzenspoelbak, installatie, reinigen</t>
    </r>
  </si>
  <si>
    <t>Rood vluchtig</t>
  </si>
  <si>
    <r>
      <t xml:space="preserve">Betreft </t>
    </r>
    <r>
      <rPr>
        <b/>
        <sz val="8"/>
        <color rgb="FFFF0000"/>
        <rFont val="Calibri"/>
        <family val="2"/>
        <scheme val="minor"/>
      </rPr>
      <t>meerprijs</t>
    </r>
    <r>
      <rPr>
        <sz val="8"/>
        <rFont val="Calibri"/>
        <family val="2"/>
        <scheme val="minor"/>
      </rPr>
      <t xml:space="preserve"> ten opzichte van </t>
    </r>
    <r>
      <rPr>
        <u/>
        <sz val="8"/>
        <rFont val="Calibri"/>
        <family val="2"/>
        <scheme val="minor"/>
      </rPr>
      <t xml:space="preserve">6.1 Materieel zonder filteroverdruksysteem en klimaatbeheersing:
</t>
    </r>
    <r>
      <rPr>
        <sz val="8"/>
        <rFont val="Calibri"/>
        <family val="2"/>
        <scheme val="minor"/>
      </rPr>
      <t>Inzet van</t>
    </r>
    <r>
      <rPr>
        <u/>
        <sz val="8"/>
        <rFont val="Calibri"/>
        <family val="2"/>
        <scheme val="minor"/>
      </rPr>
      <t xml:space="preserve"> </t>
    </r>
    <r>
      <rPr>
        <sz val="8"/>
        <rFont val="Calibri"/>
        <family val="2"/>
        <scheme val="minor"/>
      </rPr>
      <t>vonkenvrijsysteem</t>
    </r>
  </si>
  <si>
    <t>Zwart niet vluchtig</t>
  </si>
  <si>
    <t>Zwart vluchtig</t>
  </si>
  <si>
    <r>
      <t xml:space="preserve">Betreft </t>
    </r>
    <r>
      <rPr>
        <b/>
        <sz val="8"/>
        <color rgb="FFFF0000"/>
        <rFont val="Calibri"/>
        <family val="2"/>
        <scheme val="minor"/>
      </rPr>
      <t>meerprijs</t>
    </r>
    <r>
      <rPr>
        <sz val="8"/>
        <rFont val="Calibri"/>
        <family val="2"/>
        <scheme val="minor"/>
      </rPr>
      <t xml:space="preserve"> ten opzichte van </t>
    </r>
    <r>
      <rPr>
        <u/>
        <sz val="8"/>
        <rFont val="Calibri"/>
        <family val="2"/>
        <scheme val="minor"/>
      </rPr>
      <t>7.1 Standaard PBM-pakket</t>
    </r>
    <r>
      <rPr>
        <sz val="8"/>
        <rFont val="Calibri"/>
        <family val="2"/>
        <scheme val="minor"/>
      </rPr>
      <t>:
Specificeren in offerte (maatwerk)</t>
    </r>
  </si>
  <si>
    <t>Betreft meerprijs ten opzichte van 8.2 Coördinatie i.h.k.v. de BRL SIKB 7000:
Afstemmen bevoegd gezag over meldingen, handhaving, etc</t>
  </si>
  <si>
    <t>Index per december 2025
geldend v.a. januari 2026</t>
  </si>
  <si>
    <t xml:space="preserve">L0 </t>
  </si>
  <si>
    <t>L1</t>
  </si>
  <si>
    <t>A0</t>
  </si>
  <si>
    <t>A1</t>
  </si>
  <si>
    <t>Bron</t>
  </si>
  <si>
    <t>Index percentage 2026 1 moet zijn 3,50%</t>
  </si>
  <si>
    <t>Actuele prijs 2025-versie 1.0)</t>
  </si>
  <si>
    <t>Berekening tbv 2026 periode 1</t>
  </si>
  <si>
    <t>% index tbv 2026 periode 1</t>
  </si>
  <si>
    <t>Subtotaal Mensen</t>
  </si>
  <si>
    <r>
      <t xml:space="preserve">Meerprijs ten opzicht van </t>
    </r>
    <r>
      <rPr>
        <u/>
        <sz val="8"/>
        <rFont val="Calibri"/>
        <family val="2"/>
        <scheme val="minor"/>
      </rPr>
      <t>2.2 Begeleiding van DLP door MVK</t>
    </r>
    <r>
      <rPr>
        <sz val="8"/>
        <rFont val="Calibri"/>
        <family val="2"/>
        <scheme val="minor"/>
      </rPr>
      <t>:
Betreft de begeleiding door HVK ten gevolge van ongevallen/calamiteiten gerelateerd aan verontreinigde grond (bijv. onwel worden) die niet onder de reguliere begeleiding kunnen worden geschaard.</t>
    </r>
    <r>
      <rPr>
        <sz val="8"/>
        <color rgb="FFFF0000"/>
        <rFont val="Calibri"/>
        <family val="2"/>
        <scheme val="minor"/>
      </rPr>
      <t xml:space="preserve"> </t>
    </r>
    <r>
      <rPr>
        <sz val="8"/>
        <rFont val="Calibri"/>
        <family val="2"/>
        <scheme val="minor"/>
      </rPr>
      <t>Berekening op basis van nacalculatie.</t>
    </r>
  </si>
  <si>
    <t>Dit komt in uitzonderlijke situaties voor. Dit betreft maatwerk en wordt (indien van toepassing) beschreven in het V&amp;G-plan. Daarom hiervoor géén standaard prijs opgeven. Prijs nader overeen te komen (maatwerk)</t>
  </si>
  <si>
    <t>In specifieke situaties dient een sterkere PID-lamp gebruikt te worden. Dit betreft maatwerk en wordt (indien van toepassing) beschreven in het V&amp;G-plan. Daarom hiervoor geen standaard prijs opgeven. Prijs nader overeen te komen (maatwerk)</t>
  </si>
  <si>
    <r>
      <t xml:space="preserve">Betreft </t>
    </r>
    <r>
      <rPr>
        <b/>
        <sz val="8"/>
        <color rgb="FFFF0000"/>
        <rFont val="Calibri"/>
        <family val="2"/>
        <scheme val="minor"/>
      </rPr>
      <t>meerprijs</t>
    </r>
    <r>
      <rPr>
        <sz val="8"/>
        <rFont val="Calibri"/>
        <family val="2"/>
        <scheme val="minor"/>
      </rPr>
      <t xml:space="preserve"> ten opzichte van </t>
    </r>
    <r>
      <rPr>
        <u/>
        <sz val="8"/>
        <rFont val="Calibri"/>
        <family val="2"/>
        <scheme val="minor"/>
      </rPr>
      <t xml:space="preserve">6.1 Materieel zonder filteroverdruksysteem en klimaatbeheersing:
</t>
    </r>
    <r>
      <rPr>
        <sz val="8"/>
        <rFont val="Calibri"/>
        <family val="2"/>
        <scheme val="minor"/>
      </rPr>
      <t>Inzet van vonkenvrijsysteem</t>
    </r>
  </si>
  <si>
    <r>
      <t>Betreft een specificatie op het overkoepelend uitvoeringsplan BRL 7000 en is alleen van toepassing op de categorie Alleen MBA Graven TU. Alle relevante activiteiten om tot het uitvoeringsplan te komen</t>
    </r>
    <r>
      <rPr>
        <sz val="8"/>
        <color theme="1"/>
        <rFont val="Calibri"/>
        <family val="2"/>
        <scheme val="minor"/>
      </rPr>
      <t xml:space="preserve"> en dit toe te zenden aan het milieukundig bureau</t>
    </r>
    <r>
      <rPr>
        <sz val="8"/>
        <rFont val="Calibri"/>
        <family val="2"/>
        <scheme val="minor"/>
      </rPr>
      <t xml:space="preserve"> zijn inbegrepen.
Vanaf klasse oranje gecombineerd met V&amp;G plan</t>
    </r>
  </si>
  <si>
    <r>
      <t xml:space="preserve">Betreft </t>
    </r>
    <r>
      <rPr>
        <b/>
        <sz val="8"/>
        <color rgb="FFFF0000"/>
        <rFont val="Calibri"/>
        <family val="2"/>
        <scheme val="minor"/>
      </rPr>
      <t>meerprijs</t>
    </r>
    <r>
      <rPr>
        <sz val="8"/>
        <rFont val="Calibri"/>
        <family val="2"/>
        <scheme val="minor"/>
      </rPr>
      <t xml:space="preserve"> ten opzichte van </t>
    </r>
    <r>
      <rPr>
        <u/>
        <sz val="8"/>
        <rFont val="Calibri"/>
        <family val="2"/>
        <scheme val="minor"/>
      </rPr>
      <t>8.2 Coördinatie i.h.k.v. de BRL SIKB 7000:</t>
    </r>
    <r>
      <rPr>
        <sz val="8"/>
        <rFont val="Calibri"/>
        <family val="2"/>
        <scheme val="minor"/>
      </rPr>
      <t xml:space="preserve">
Verzamelen informatie, bodeminfo, invullen en indienen meldingsformulier, communicatie bevoegd gezag, OG en MKB.</t>
    </r>
  </si>
  <si>
    <t>dagdeel</t>
  </si>
  <si>
    <t>Prijsindexatie</t>
  </si>
  <si>
    <t>1. De uurtarieven worden aan de hand van de CROW publicatie "Risicoregeling GWW 1995" van 1 december van het lopende jaar, met een index mandje jaarlijks per 1 januari verhoogd. Voor het bepalen van de indez wordt de onderstaande formule gehanteerd:</t>
  </si>
  <si>
    <t>P1 = P0*(0,95*(L1/L0)+0,05*(A1/A0))</t>
  </si>
  <si>
    <t>P0 = tarief lopend jaar</t>
  </si>
  <si>
    <t>P1 = tarief opvolgend jaar</t>
  </si>
  <si>
    <t>L0 =  Indexen t.b.v. de risicoregeling GWW 1995, tabel “00 = Loonkosten” / indexcijfer augustus voorgaande jaar aan het lopende jaar</t>
  </si>
  <si>
    <t>L1 = Indexen t.b.v. de risicoregeling GWW 1995, tabel “00 = Loonkosten” / indexcijfer augustus lopend jaar (de tweede periode)</t>
  </si>
  <si>
    <t>A0 =  Indexen t.b.v. de risicoregeling GWW 1995, tabel “01 = Gasolie met hoog accijnstarief” / indexcijfer augustus voorgaande jaar</t>
  </si>
  <si>
    <t>A1 = Indexen t.b.v. de risicoregeling GWW 1995, tabel “01 = Gasolie met hoog accijnstarief” / indexcijfer augustus lopend jaar</t>
  </si>
  <si>
    <t>2. De indexatie op het gebied van materiaal/materieel wordt niet jaarlijks aangepast maar indien nodig worden tarieven specifiek door bijzondere (inkoop)marktomstandigheden of gewijzigde materieel inzet of materiaalwijzigingen aangepast.</t>
  </si>
  <si>
    <t>Revisiebeheer</t>
  </si>
  <si>
    <t>Alliander SRM Sourcing - Contractmanagement Aannemerij</t>
  </si>
  <si>
    <t>Contractspecialisten (Alliander SRM) &amp; Rikus van den brink (Liander Inkoop)</t>
  </si>
  <si>
    <t>Versienr</t>
  </si>
  <si>
    <t>status</t>
  </si>
  <si>
    <t>datum</t>
  </si>
  <si>
    <t>tabblad</t>
  </si>
  <si>
    <t>mutatie</t>
  </si>
  <si>
    <t>1.2 - 2026</t>
  </si>
  <si>
    <t>Definitief</t>
  </si>
  <si>
    <t>K63</t>
  </si>
  <si>
    <t>(Sahar Malakouti) In cel K63 stond een verkeerde verwijzing naar tabblad "Alleen MBA Graven TU". De fout was wanneer in het tabblad "Invul- en verrekenblad" BRL7000 van toepassing op “Ja” gezet en dan de gegevens bij “alleen MBA Graven TU” ingevuld, werd automatisch ook een gedeelte door bij oranje niet vluchtig meegenomen.  De fout was dat in cel K63 verwezen werkd naar tabblad "Alleen MBA Graven TU" kolom D in plaats van naar kolom E. Dit is gecorrigeerd.</t>
  </si>
  <si>
    <t>(Sahar Malakouti) In cel K63 stond een verkeerde verwijzing naar tabblad "Alleen MBA Graven TU". De fout was wanneer in het tabblad "Invul- en verrekenblad" BRL7000 van toepassing op “Ja” gezet en dan de gegevens bij “alleen MBA Graven TU” ingevuld, werd automatisch ook een gedeelte door bij oranje niet vluchtig meegenomen.  De fout was dat in cel K63 verwezen werkd naar tabblad "Alleen MBA Graven TU" kolom D in plaats van naar kolom F. Dit is gecorrigeerd.</t>
  </si>
  <si>
    <t>1.1 - 2026</t>
  </si>
  <si>
    <t>MBA, Oranje, Rood en Zwart</t>
  </si>
  <si>
    <t>div</t>
  </si>
  <si>
    <t>(Sahar Malakouti) Bij maatregelen waar een offertebedrag ingevuld dient te worden vermeld, stond een onjusite verwijzing naar het tabblad "Gegevensblad". De verwijzing in kolom M in de tabbladen is aangepast naar tabblad "Variabelen" bij de bijhorende maatregel. De aanpassing betreft: 2.2.2,4.1, 4.2, 5.3, 6.1.2, 6.2.2, 7.1.2, 7.1.3, 8.2.1 en 8.2.2.</t>
  </si>
  <si>
    <t>1.0 - 2026</t>
  </si>
  <si>
    <t>Gegevensblad</t>
  </si>
  <si>
    <t>K39</t>
  </si>
  <si>
    <t>(Sahar Malakouti) Tarieven 2025 v1.0 geindexeerd met 3,50% GWW tbv januari 2026</t>
  </si>
  <si>
    <t>1.2 - 2025</t>
  </si>
  <si>
    <r>
      <t xml:space="preserve">(Sahar Malakouti) tabblad Alleen MBA Graven TU formule aangepast (er zat een fout in de formule; in het laatste gedeelte van de formule werd verwezen naar F14, dit is gecorrigeerd naar C14. 
</t>
    </r>
    <r>
      <rPr>
        <i/>
        <sz val="11"/>
        <color theme="1"/>
        <rFont val="Calibri"/>
        <family val="2"/>
        <scheme val="minor"/>
      </rPr>
      <t>was</t>
    </r>
    <r>
      <rPr>
        <sz val="11"/>
        <color theme="1"/>
        <rFont val="Calibri"/>
        <family val="2"/>
        <scheme val="minor"/>
      </rPr>
      <t xml:space="preserve"> ('Invul- en verrekenblad'!F14/5);0))) </t>
    </r>
    <r>
      <rPr>
        <i/>
        <sz val="11"/>
        <color theme="1"/>
        <rFont val="Calibri"/>
        <family val="2"/>
        <scheme val="minor"/>
      </rPr>
      <t>is geworden</t>
    </r>
    <r>
      <rPr>
        <sz val="11"/>
        <color theme="1"/>
        <rFont val="Calibri"/>
        <family val="2"/>
        <scheme val="minor"/>
      </rPr>
      <t xml:space="preserve"> ('Invul- en verrekenblad'!C14/5);0))) </t>
    </r>
  </si>
  <si>
    <t>1.1 - 2025</t>
  </si>
  <si>
    <t>K41</t>
  </si>
  <si>
    <t>(Sahar Malakouti) tabblad Alleen MBA Graven TU formule aangepast (er zat een fout in de formule)</t>
  </si>
  <si>
    <t>1.0 - 2025</t>
  </si>
  <si>
    <t>(Sahar Malakouti) Tarieven 2024 v2.1 geindexeerd met 8,91% GWW tbv januari 2025</t>
  </si>
  <si>
    <t>2.1 - 2024</t>
  </si>
  <si>
    <t>(Martin van Leeuwen) tab Alleen MBA Graven TU D20 in formule gewijzigd naad D21</t>
  </si>
  <si>
    <t>2.0 - 2024</t>
  </si>
  <si>
    <t>Indexatie + terminologie Ow</t>
  </si>
  <si>
    <t>0.92 - 2024</t>
  </si>
  <si>
    <t>Concept</t>
  </si>
  <si>
    <t>Door Rikus indexatie tbv 2024 vlgs afspraak werkgroep 9-1-2024 doorgevoerd</t>
  </si>
  <si>
    <t>0.91 - 2023</t>
  </si>
  <si>
    <t>Door Rikus onderbouwing gegevensblad doorgevoerd</t>
  </si>
  <si>
    <t>0.9 - 2023</t>
  </si>
  <si>
    <r>
      <t xml:space="preserve">Door Gabri voorgestelde </t>
    </r>
    <r>
      <rPr>
        <b/>
        <u/>
        <sz val="11"/>
        <color theme="1"/>
        <rFont val="Calibri"/>
        <family val="2"/>
        <scheme val="minor"/>
      </rPr>
      <t>tekstuele</t>
    </r>
    <r>
      <rPr>
        <sz val="11"/>
        <color theme="1"/>
        <rFont val="Calibri"/>
        <family val="2"/>
        <scheme val="minor"/>
      </rPr>
      <t xml:space="preserve"> wijzigingen (n.a.v. OW) doorgevoerd</t>
    </r>
  </si>
  <si>
    <t>1.5 - 2023</t>
  </si>
  <si>
    <t>Indexatie 2023 (Mens +4,3% t.o.v. 2022)</t>
  </si>
  <si>
    <t>1.4 - 2022</t>
  </si>
  <si>
    <t>Indexatie 2022 en hekwerk van st/wk aangepast naar m1/wk (er zat een fout in de formule)</t>
  </si>
  <si>
    <t>Tabbladen</t>
  </si>
  <si>
    <t>1.31 - 2021</t>
  </si>
  <si>
    <t>Paar formules goed gezet</t>
  </si>
  <si>
    <t>Invul en verrekenblad</t>
  </si>
  <si>
    <t>1.3 - 2021</t>
  </si>
  <si>
    <t>Indexatie 2021</t>
  </si>
  <si>
    <t>Variabelen</t>
  </si>
  <si>
    <t>1.22 - 2020</t>
  </si>
  <si>
    <t>6.2.1 Depot voorziening folie optioneel gemaakt</t>
  </si>
  <si>
    <t>1.21 - 2020</t>
  </si>
  <si>
    <t>Formules offertebedrag hersteld op gegevensblad en formules aan-afvoer hekwerk gerepareerd</t>
  </si>
  <si>
    <t>1.2 - 2020</t>
  </si>
  <si>
    <t>Indexatie 2020</t>
  </si>
  <si>
    <t>1.1 - 2019</t>
  </si>
  <si>
    <t>Diverse aanpassingen/verbeteringen/indexering</t>
  </si>
  <si>
    <t>1.1 - 2018</t>
  </si>
  <si>
    <t>Diverse aanpassingen/verbeteringen</t>
  </si>
  <si>
    <t>1.0 - 2018</t>
  </si>
  <si>
    <t>n.v.t</t>
  </si>
  <si>
    <t>Definitief gemaakt</t>
  </si>
  <si>
    <t>0.98</t>
  </si>
  <si>
    <t>concept</t>
  </si>
  <si>
    <t>Formules aangebracht + beveiliging</t>
  </si>
  <si>
    <t>0.97</t>
  </si>
  <si>
    <t>Formules aangebracht</t>
  </si>
  <si>
    <t>0.96</t>
  </si>
  <si>
    <t>Kostenverdeling combi</t>
  </si>
  <si>
    <t>0.95</t>
  </si>
  <si>
    <t>0.94 (tbv tarifering)</t>
  </si>
  <si>
    <t>Percentageberekening verrekening combi-opdrachten</t>
  </si>
  <si>
    <t>Overizcht berekening en kostenverdeling</t>
  </si>
  <si>
    <t>Grondwerkmatrix</t>
  </si>
  <si>
    <t>Gebieden in vervuilingsklasse</t>
  </si>
  <si>
    <t>Berekening basisklasse</t>
  </si>
  <si>
    <t>T</t>
  </si>
  <si>
    <t>G</t>
  </si>
  <si>
    <t>W</t>
  </si>
  <si>
    <t>E</t>
  </si>
  <si>
    <t>C</t>
  </si>
  <si>
    <t>Klik het + icoontje boven rij T om te laten zien / verbergen</t>
  </si>
  <si>
    <t>%  meters</t>
  </si>
  <si>
    <t>Klik het + icoontje boven rij AH om te laten zien / verbergen</t>
  </si>
  <si>
    <t>2) Uitkomst verdeling</t>
  </si>
  <si>
    <t>TGWEC</t>
  </si>
  <si>
    <t>TGWE</t>
  </si>
  <si>
    <t>Totale gebied</t>
  </si>
  <si>
    <t>TGWC</t>
  </si>
  <si>
    <t>Kostenverdeling</t>
  </si>
  <si>
    <t>TGEC</t>
  </si>
  <si>
    <t>Discipline</t>
  </si>
  <si>
    <t>Percentage v/d kosten</t>
  </si>
  <si>
    <t>TWEC</t>
  </si>
  <si>
    <t>GWEC</t>
  </si>
  <si>
    <t>Totaal</t>
  </si>
  <si>
    <t>TGW</t>
  </si>
  <si>
    <t>TGC</t>
  </si>
  <si>
    <t>Bronnerings%</t>
  </si>
  <si>
    <t>% van totaal</t>
  </si>
  <si>
    <t>TEC</t>
  </si>
  <si>
    <t>WEC</t>
  </si>
  <si>
    <t>TGE</t>
  </si>
  <si>
    <t>TWC</t>
  </si>
  <si>
    <t>GEC</t>
  </si>
  <si>
    <t>TWE</t>
  </si>
  <si>
    <t>GWC</t>
  </si>
  <si>
    <t>GWE</t>
  </si>
  <si>
    <t>TG</t>
  </si>
  <si>
    <t>TC</t>
  </si>
  <si>
    <t>EC</t>
  </si>
  <si>
    <t>TW</t>
  </si>
  <si>
    <t>GC</t>
  </si>
  <si>
    <t>TE</t>
  </si>
  <si>
    <t>WC</t>
  </si>
  <si>
    <t>GE</t>
  </si>
  <si>
    <t>WE</t>
  </si>
  <si>
    <t>GW</t>
  </si>
  <si>
    <t>Allen MBA, Oranje N-VL, Oranje VL, Rood N-VL, Rood VL, Zwart N-VL en Zwart VL</t>
  </si>
  <si>
    <t>1.3 - 2026</t>
  </si>
  <si>
    <t>(Sahar Malakouti) In de genoemde tabbladen na kolom "Toelichting" zie je een kolm waar sommige cellen als "Nee" zijn gemarkeerd. Bij deze cellen in kolom K stond een onjuiste formule. Deze formule zorgde ervoor dat zaken die niet verrekenbaar zijn, wel verrekenbaar werden, wanneer in het tabblad "Invul- en verrekenblad" bijvoorbeeld cel B14 of C15 een getal werd ingevuld. Dit is gecorrigeerd</t>
  </si>
  <si>
    <t>K</t>
  </si>
  <si>
    <t>cel / kolom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</si>
</sst>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 #,##0.00;[Red]&quot;€&quot;\ \-#,##0.00"/>
    <numFmt numFmtId="44" formatCode="_ &quot;€&quot;\ * #,##0.00_ ;_ &quot;€&quot;\ * \-#,##0.00_ ;_ &quot;€&quot;\ * &quot;-&quot;??_ ;_ @_ "/>
    <numFmt numFmtId="43" formatCode="_ * #,##0.00_ ;_ * \-#,##0.00_ ;_ * &quot;-&quot;??_ ;_ @_ "/>
    <numFmt numFmtId="164" formatCode="[$-413]d/mmm/yy;@"/>
    <numFmt numFmtId="165" formatCode="&quot;€&quot;\ #,##0.00_-"/>
    <numFmt numFmtId="166" formatCode="0.0%"/>
    <numFmt numFmtId="167" formatCode="_ [$€-2]\ * #,##0.00_ ;_ [$€-2]\ * \-#,##0.00_ ;_ [$€-2]\ * &quot;-&quot;??_ ;_ @_ "/>
    <numFmt numFmtId="168" formatCode="_ [$€-413]\ * #,##0.00_ ;_ [$€-413]\ * \-#,##0.00_ ;_ [$€-413]\ * &quot;-&quot;??_ ;_ @_ "/>
    <numFmt numFmtId="169" formatCode="_-&quot;€&quot;\ * #,##0.00_-;_-&quot;€&quot;\ * #,##0.00\-;_-&quot;€&quot;\ * &quot;-&quot;??_-;_-@_-"/>
    <numFmt numFmtId="170" formatCode="#,##0_ ;\-#,##0\ "/>
  </numFmts>
  <fonts count="59" x14ac:knownFonts="1">
    <font>
      <sz val="11"/>
      <color theme="1"/>
      <name val="Calibri"/>
      <family val="2"/>
      <scheme val="minor"/>
    </font>
    <font>
      <sz val="11"/>
      <color theme="1"/>
      <name val="Calibri"/>
      <family val="2"/>
      <scheme val="minor"/>
    </font>
    <font>
      <sz val="11"/>
      <name val="Calibri"/>
      <family val="2"/>
      <scheme val="minor"/>
    </font>
    <font>
      <b/>
      <sz val="8"/>
      <name val="Arial Narrow"/>
      <family val="2"/>
    </font>
    <font>
      <b/>
      <sz val="8"/>
      <color theme="0"/>
      <name val="Arial Narrow"/>
      <family val="2"/>
    </font>
    <font>
      <b/>
      <sz val="18"/>
      <name val="Arial"/>
      <family val="2"/>
    </font>
    <font>
      <b/>
      <sz val="10"/>
      <name val="Arial"/>
      <family val="2"/>
    </font>
    <font>
      <sz val="9"/>
      <color indexed="81"/>
      <name val="Tahoma"/>
      <family val="2"/>
    </font>
    <font>
      <b/>
      <sz val="9"/>
      <color indexed="81"/>
      <name val="Tahoma"/>
      <family val="2"/>
    </font>
    <font>
      <sz val="8"/>
      <name val="Calibri"/>
      <family val="2"/>
      <scheme val="minor"/>
    </font>
    <font>
      <b/>
      <sz val="8"/>
      <name val="Calibri"/>
      <family val="2"/>
      <scheme val="minor"/>
    </font>
    <font>
      <b/>
      <sz val="18"/>
      <name val="Calibri"/>
      <family val="2"/>
      <scheme val="minor"/>
    </font>
    <font>
      <b/>
      <sz val="8"/>
      <color theme="0"/>
      <name val="Calibri"/>
      <family val="2"/>
      <scheme val="minor"/>
    </font>
    <font>
      <b/>
      <sz val="12"/>
      <color theme="0"/>
      <name val="Calibri"/>
      <family val="2"/>
      <scheme val="minor"/>
    </font>
    <font>
      <u/>
      <sz val="8"/>
      <name val="Calibri"/>
      <family val="2"/>
      <scheme val="minor"/>
    </font>
    <font>
      <sz val="12"/>
      <color theme="0"/>
      <name val="Calibri"/>
      <family val="2"/>
      <scheme val="minor"/>
    </font>
    <font>
      <sz val="8"/>
      <color theme="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2"/>
      <color indexed="10"/>
      <name val="Arial"/>
      <family val="2"/>
    </font>
    <font>
      <sz val="8"/>
      <name val="Arial Narrow"/>
      <family val="2"/>
    </font>
    <font>
      <b/>
      <sz val="10"/>
      <color theme="0"/>
      <name val="Calibri"/>
      <family val="2"/>
      <scheme val="minor"/>
    </font>
    <font>
      <b/>
      <sz val="14"/>
      <color theme="0"/>
      <name val="Calibri"/>
      <family val="2"/>
      <scheme val="minor"/>
    </font>
    <font>
      <sz val="10"/>
      <color theme="0"/>
      <name val="Arial"/>
      <family val="2"/>
    </font>
    <font>
      <b/>
      <sz val="8"/>
      <color theme="0"/>
      <name val="Arial"/>
      <family val="2"/>
    </font>
    <font>
      <b/>
      <i/>
      <sz val="8"/>
      <color theme="0" tint="-0.34998626667073579"/>
      <name val="Arial Narrow"/>
      <family val="2"/>
    </font>
    <font>
      <i/>
      <sz val="8"/>
      <color theme="0" tint="-0.34998626667073579"/>
      <name val="Arial Narrow"/>
      <family val="2"/>
    </font>
    <font>
      <sz val="8"/>
      <color theme="1"/>
      <name val="Arial Narrow"/>
      <family val="2"/>
    </font>
    <font>
      <sz val="8"/>
      <name val="Arial"/>
      <family val="2"/>
    </font>
    <font>
      <b/>
      <sz val="16"/>
      <color theme="0"/>
      <name val="Calibri"/>
      <family val="2"/>
      <scheme val="minor"/>
    </font>
    <font>
      <b/>
      <sz val="16"/>
      <name val="Calibri"/>
      <family val="2"/>
      <scheme val="minor"/>
    </font>
    <font>
      <sz val="9"/>
      <color theme="1"/>
      <name val="Calibri"/>
      <family val="2"/>
      <scheme val="minor"/>
    </font>
    <font>
      <b/>
      <sz val="18"/>
      <color theme="0"/>
      <name val="Calibri"/>
      <family val="2"/>
      <scheme val="minor"/>
    </font>
    <font>
      <sz val="18"/>
      <color theme="0"/>
      <name val="Calibri"/>
      <family val="2"/>
      <scheme val="minor"/>
    </font>
    <font>
      <b/>
      <sz val="12"/>
      <color theme="1"/>
      <name val="Calibri"/>
      <family val="2"/>
      <scheme val="minor"/>
    </font>
    <font>
      <b/>
      <sz val="8"/>
      <color rgb="FFFF0000"/>
      <name val="Calibri"/>
      <family val="2"/>
      <scheme val="minor"/>
    </font>
    <font>
      <sz val="10"/>
      <color theme="0"/>
      <name val="Calibri"/>
      <family val="2"/>
      <scheme val="minor"/>
    </font>
    <font>
      <sz val="11"/>
      <color theme="9" tint="-0.499984740745262"/>
      <name val="Calibri"/>
      <family val="2"/>
      <scheme val="minor"/>
    </font>
    <font>
      <b/>
      <sz val="14"/>
      <color theme="9" tint="-0.499984740745262"/>
      <name val="Calibri"/>
      <family val="2"/>
      <scheme val="minor"/>
    </font>
    <font>
      <b/>
      <sz val="10"/>
      <color theme="9" tint="-0.499984740745262"/>
      <name val="Calibri"/>
      <family val="2"/>
      <scheme val="minor"/>
    </font>
    <font>
      <sz val="8"/>
      <color rgb="FFFF0000"/>
      <name val="Calibri"/>
      <family val="2"/>
      <scheme val="minor"/>
    </font>
    <font>
      <b/>
      <sz val="10"/>
      <color rgb="FFFF0000"/>
      <name val="Arial"/>
      <family val="2"/>
    </font>
    <font>
      <sz val="10"/>
      <color theme="1"/>
      <name val="Calibri"/>
      <family val="2"/>
      <scheme val="minor"/>
    </font>
    <font>
      <b/>
      <sz val="14"/>
      <color theme="1"/>
      <name val="Calibri"/>
      <family val="2"/>
      <scheme val="minor"/>
    </font>
    <font>
      <sz val="11"/>
      <color indexed="8"/>
      <name val="Calibri"/>
      <family val="2"/>
    </font>
    <font>
      <sz val="10"/>
      <color rgb="FFFF0000"/>
      <name val="Arial"/>
      <family val="2"/>
    </font>
    <font>
      <sz val="8"/>
      <color theme="1"/>
      <name val="Calibri"/>
      <family val="2"/>
      <scheme val="minor"/>
    </font>
    <font>
      <b/>
      <sz val="12"/>
      <name val="Arial"/>
      <family val="2"/>
    </font>
    <font>
      <sz val="10"/>
      <color rgb="FF1F497D"/>
      <name val="Arial"/>
      <family val="2"/>
    </font>
    <font>
      <b/>
      <sz val="12"/>
      <color rgb="FF0070C0"/>
      <name val="Arial"/>
      <family val="2"/>
    </font>
    <font>
      <u/>
      <sz val="8"/>
      <color theme="1"/>
      <name val="Calibri"/>
      <family val="2"/>
      <scheme val="minor"/>
    </font>
    <font>
      <b/>
      <u/>
      <sz val="11"/>
      <color theme="1"/>
      <name val="Calibri"/>
      <family val="2"/>
      <scheme val="minor"/>
    </font>
    <font>
      <u/>
      <sz val="11"/>
      <color theme="1"/>
      <name val="Calibri"/>
      <family val="2"/>
      <scheme val="minor"/>
    </font>
    <font>
      <u/>
      <sz val="11"/>
      <color theme="10"/>
      <name val="Calibri"/>
      <family val="2"/>
      <scheme val="minor"/>
    </font>
    <font>
      <i/>
      <sz val="11"/>
      <color theme="1"/>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solid">
        <fgColor theme="1"/>
        <bgColor indexed="64"/>
      </patternFill>
    </fill>
    <fill>
      <patternFill patternType="solid">
        <fgColor rgb="FF00B050"/>
        <bgColor indexed="64"/>
      </patternFill>
    </fill>
    <fill>
      <patternFill patternType="solid">
        <fgColor indexed="43"/>
        <bgColor indexed="64"/>
      </patternFill>
    </fill>
    <fill>
      <patternFill patternType="solid">
        <fgColor theme="3"/>
        <bgColor indexed="64"/>
      </patternFill>
    </fill>
    <fill>
      <patternFill patternType="solid">
        <fgColor theme="2"/>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FFFF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5050"/>
        <bgColor indexed="64"/>
      </patternFill>
    </fill>
    <fill>
      <patternFill patternType="solid">
        <fgColor theme="7" tint="0.59999389629810485"/>
        <bgColor indexed="64"/>
      </patternFill>
    </fill>
    <fill>
      <patternFill patternType="solid">
        <fgColor theme="0" tint="-0.34998626667073579"/>
        <bgColor indexed="64"/>
      </patternFill>
    </fill>
    <fill>
      <patternFill patternType="solid">
        <fgColor theme="2" tint="-9.9978637043366805E-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hair">
        <color auto="1"/>
      </top>
      <bottom style="hair">
        <color auto="1"/>
      </bottom>
      <diagonal/>
    </border>
    <border>
      <left style="dotted">
        <color indexed="64"/>
      </left>
      <right style="dotted">
        <color indexed="64"/>
      </right>
      <top style="dotted">
        <color indexed="64"/>
      </top>
      <bottom style="dotted">
        <color indexed="64"/>
      </bottom>
      <diagonal/>
    </border>
    <border>
      <left style="medium">
        <color indexed="64"/>
      </left>
      <right/>
      <top/>
      <bottom style="dotted">
        <color indexed="64"/>
      </bottom>
      <diagonal/>
    </border>
    <border>
      <left/>
      <right/>
      <top/>
      <bottom style="dotted">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dashed">
        <color indexed="64"/>
      </left>
      <right style="medium">
        <color indexed="64"/>
      </right>
      <top style="dashed">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s>
  <cellStyleXfs count="15">
    <xf numFmtId="0" fontId="0" fillId="0" borderId="0"/>
    <xf numFmtId="44" fontId="1" fillId="0" borderId="0" applyFont="0" applyFill="0" applyBorder="0" applyAlignment="0" applyProtection="0"/>
    <xf numFmtId="0" fontId="21" fillId="0" borderId="0"/>
    <xf numFmtId="0" fontId="22" fillId="0" borderId="0"/>
    <xf numFmtId="0" fontId="1" fillId="0" borderId="0"/>
    <xf numFmtId="9" fontId="22" fillId="0" borderId="0" applyFont="0" applyFill="0" applyBorder="0" applyAlignment="0" applyProtection="0"/>
    <xf numFmtId="9" fontId="1" fillId="0" borderId="0" applyFont="0" applyFill="0" applyBorder="0" applyAlignment="0" applyProtection="0"/>
    <xf numFmtId="0" fontId="22" fillId="0" borderId="0"/>
    <xf numFmtId="44" fontId="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169" fontId="21" fillId="0" borderId="0" applyFont="0" applyFill="0" applyBorder="0" applyAlignment="0" applyProtection="0"/>
    <xf numFmtId="43" fontId="48" fillId="0" borderId="0" applyFont="0" applyFill="0" applyBorder="0" applyAlignment="0" applyProtection="0"/>
    <xf numFmtId="0" fontId="57" fillId="0" borderId="0" applyNumberFormat="0" applyFill="0" applyBorder="0" applyAlignment="0" applyProtection="0"/>
  </cellStyleXfs>
  <cellXfs count="520">
    <xf numFmtId="0" fontId="0" fillId="0" borderId="0" xfId="0"/>
    <xf numFmtId="0" fontId="9" fillId="0" borderId="0" xfId="0" applyFont="1" applyAlignment="1">
      <alignment wrapText="1"/>
    </xf>
    <xf numFmtId="0" fontId="9" fillId="0" borderId="0" xfId="0" applyFont="1" applyAlignment="1">
      <alignment vertical="top" wrapText="1"/>
    </xf>
    <xf numFmtId="0" fontId="9" fillId="0" borderId="1" xfId="0" applyFont="1" applyBorder="1" applyAlignment="1">
      <alignment vertical="top" wrapText="1"/>
    </xf>
    <xf numFmtId="0" fontId="9" fillId="0" borderId="2" xfId="0" applyFont="1" applyBorder="1" applyAlignment="1">
      <alignment vertical="top" wrapText="1"/>
    </xf>
    <xf numFmtId="0" fontId="9" fillId="0" borderId="5" xfId="0" applyFont="1" applyBorder="1" applyAlignment="1">
      <alignment vertical="top" wrapText="1"/>
    </xf>
    <xf numFmtId="0" fontId="10" fillId="0" borderId="0" xfId="0" applyFont="1" applyAlignment="1">
      <alignment wrapText="1"/>
    </xf>
    <xf numFmtId="164" fontId="10" fillId="0" borderId="0" xfId="0" applyNumberFormat="1" applyFont="1" applyAlignment="1">
      <alignment vertical="top" wrapText="1"/>
    </xf>
    <xf numFmtId="164" fontId="10" fillId="0" borderId="0" xfId="0" applyNumberFormat="1" applyFont="1" applyAlignment="1">
      <alignment horizontal="left" vertical="top" wrapText="1"/>
    </xf>
    <xf numFmtId="0" fontId="21" fillId="0" borderId="0" xfId="2" applyAlignment="1">
      <alignment wrapText="1"/>
    </xf>
    <xf numFmtId="0" fontId="24" fillId="0" borderId="14" xfId="2" applyFont="1" applyBorder="1" applyAlignment="1">
      <alignment wrapText="1"/>
    </xf>
    <xf numFmtId="0" fontId="6" fillId="0" borderId="0" xfId="2" applyFont="1" applyAlignment="1">
      <alignment wrapText="1"/>
    </xf>
    <xf numFmtId="0" fontId="24" fillId="7" borderId="9" xfId="2" applyFont="1" applyFill="1" applyBorder="1" applyAlignment="1" applyProtection="1">
      <alignment horizontal="center" wrapText="1"/>
      <protection locked="0"/>
    </xf>
    <xf numFmtId="0" fontId="24" fillId="7" borderId="1" xfId="2" applyFont="1" applyFill="1" applyBorder="1" applyAlignment="1" applyProtection="1">
      <alignment horizontal="center" wrapText="1"/>
      <protection locked="0"/>
    </xf>
    <xf numFmtId="165" fontId="24" fillId="0" borderId="27" xfId="2" applyNumberFormat="1" applyFont="1" applyBorder="1" applyAlignment="1">
      <alignment wrapText="1"/>
    </xf>
    <xf numFmtId="0" fontId="3" fillId="3" borderId="2" xfId="2" applyFont="1" applyFill="1" applyBorder="1" applyAlignment="1">
      <alignment horizontal="left" wrapText="1"/>
    </xf>
    <xf numFmtId="165" fontId="24" fillId="0" borderId="40" xfId="2" applyNumberFormat="1" applyFont="1" applyBorder="1" applyAlignment="1">
      <alignment wrapText="1"/>
    </xf>
    <xf numFmtId="0" fontId="3" fillId="4" borderId="2" xfId="2" applyFont="1" applyFill="1" applyBorder="1" applyAlignment="1">
      <alignment horizontal="left" wrapText="1"/>
    </xf>
    <xf numFmtId="0" fontId="4" fillId="5" borderId="2" xfId="2" applyFont="1" applyFill="1" applyBorder="1" applyAlignment="1">
      <alignment horizontal="left" wrapText="1"/>
    </xf>
    <xf numFmtId="165" fontId="24" fillId="0" borderId="29" xfId="2" applyNumberFormat="1" applyFont="1" applyBorder="1" applyAlignment="1">
      <alignment wrapText="1"/>
    </xf>
    <xf numFmtId="0" fontId="3" fillId="0" borderId="0" xfId="2" applyFont="1" applyAlignment="1">
      <alignment wrapText="1"/>
    </xf>
    <xf numFmtId="0" fontId="24" fillId="0" borderId="0" xfId="2" applyFont="1" applyAlignment="1">
      <alignment wrapText="1"/>
    </xf>
    <xf numFmtId="0" fontId="3" fillId="0" borderId="44" xfId="2" applyFont="1" applyBorder="1" applyAlignment="1">
      <alignment wrapText="1"/>
    </xf>
    <xf numFmtId="0" fontId="22" fillId="0" borderId="0" xfId="3" applyAlignment="1">
      <alignment wrapText="1"/>
    </xf>
    <xf numFmtId="0" fontId="24" fillId="7" borderId="9" xfId="3" applyFont="1" applyFill="1" applyBorder="1" applyAlignment="1" applyProtection="1">
      <alignment horizontal="center" wrapText="1"/>
      <protection locked="0"/>
    </xf>
    <xf numFmtId="0" fontId="29" fillId="0" borderId="0" xfId="3" applyFont="1" applyAlignment="1">
      <alignment wrapText="1"/>
    </xf>
    <xf numFmtId="165" fontId="30" fillId="0" borderId="0" xfId="3" applyNumberFormat="1" applyFont="1" applyAlignment="1">
      <alignment wrapText="1"/>
    </xf>
    <xf numFmtId="0" fontId="1" fillId="2" borderId="0" xfId="4" applyFill="1"/>
    <xf numFmtId="0" fontId="32" fillId="0" borderId="0" xfId="3" applyFont="1"/>
    <xf numFmtId="166" fontId="24" fillId="2" borderId="31" xfId="5" applyNumberFormat="1" applyFont="1" applyFill="1" applyBorder="1" applyAlignment="1" applyProtection="1">
      <alignment horizontal="center" wrapText="1"/>
    </xf>
    <xf numFmtId="0" fontId="19" fillId="0" borderId="8" xfId="4" applyFont="1" applyBorder="1"/>
    <xf numFmtId="0" fontId="1" fillId="0" borderId="12" xfId="4" applyBorder="1"/>
    <xf numFmtId="0" fontId="1" fillId="0" borderId="0" xfId="4"/>
    <xf numFmtId="0" fontId="1" fillId="0" borderId="34" xfId="4" applyBorder="1"/>
    <xf numFmtId="0" fontId="19" fillId="0" borderId="7" xfId="4" applyFont="1" applyBorder="1"/>
    <xf numFmtId="0" fontId="19" fillId="0" borderId="34" xfId="4" applyFont="1" applyBorder="1"/>
    <xf numFmtId="0" fontId="1" fillId="0" borderId="7" xfId="4" applyBorder="1"/>
    <xf numFmtId="0" fontId="26" fillId="10" borderId="31" xfId="4" applyFont="1" applyFill="1" applyBorder="1" applyAlignment="1">
      <alignment vertical="center"/>
    </xf>
    <xf numFmtId="0" fontId="26" fillId="10" borderId="46" xfId="4" applyFont="1" applyFill="1" applyBorder="1" applyAlignment="1">
      <alignment vertical="center"/>
    </xf>
    <xf numFmtId="0" fontId="26" fillId="10" borderId="9" xfId="4" applyFont="1" applyFill="1" applyBorder="1" applyAlignment="1">
      <alignment vertical="center"/>
    </xf>
    <xf numFmtId="0" fontId="26" fillId="10" borderId="32" xfId="4" applyFont="1" applyFill="1" applyBorder="1" applyAlignment="1">
      <alignment vertical="center"/>
    </xf>
    <xf numFmtId="0" fontId="1" fillId="10" borderId="16" xfId="4" applyFill="1" applyBorder="1"/>
    <xf numFmtId="0" fontId="1" fillId="10" borderId="12" xfId="4" applyFill="1" applyBorder="1"/>
    <xf numFmtId="0" fontId="19" fillId="0" borderId="31" xfId="4" applyFont="1" applyBorder="1"/>
    <xf numFmtId="0" fontId="1" fillId="11" borderId="31" xfId="4" applyFill="1" applyBorder="1"/>
    <xf numFmtId="0" fontId="1" fillId="11" borderId="46" xfId="4" applyFill="1" applyBorder="1"/>
    <xf numFmtId="0" fontId="1" fillId="11" borderId="9" xfId="4" applyFill="1" applyBorder="1"/>
    <xf numFmtId="0" fontId="36" fillId="8" borderId="17" xfId="4" applyFont="1" applyFill="1" applyBorder="1"/>
    <xf numFmtId="0" fontId="37" fillId="8" borderId="18" xfId="4" applyFont="1" applyFill="1" applyBorder="1"/>
    <xf numFmtId="0" fontId="37" fillId="8" borderId="19" xfId="4" applyFont="1" applyFill="1" applyBorder="1"/>
    <xf numFmtId="0" fontId="19" fillId="0" borderId="32" xfId="4" applyFont="1" applyBorder="1"/>
    <xf numFmtId="10" fontId="0" fillId="0" borderId="16" xfId="6" applyNumberFormat="1" applyFont="1" applyFill="1" applyBorder="1"/>
    <xf numFmtId="10" fontId="0" fillId="0" borderId="12" xfId="6" applyNumberFormat="1" applyFont="1" applyFill="1" applyBorder="1"/>
    <xf numFmtId="0" fontId="1" fillId="0" borderId="16" xfId="4" applyBorder="1" applyAlignment="1">
      <alignment horizontal="center" vertical="center"/>
    </xf>
    <xf numFmtId="0" fontId="1" fillId="2" borderId="33" xfId="4" applyFill="1" applyBorder="1"/>
    <xf numFmtId="0" fontId="1" fillId="2" borderId="35" xfId="4" applyFill="1" applyBorder="1"/>
    <xf numFmtId="10" fontId="0" fillId="0" borderId="0" xfId="6" applyNumberFormat="1" applyFont="1" applyFill="1" applyBorder="1"/>
    <xf numFmtId="10" fontId="0" fillId="0" borderId="7" xfId="6" applyNumberFormat="1" applyFont="1" applyFill="1" applyBorder="1"/>
    <xf numFmtId="0" fontId="1" fillId="0" borderId="34" xfId="4" applyBorder="1" applyAlignment="1">
      <alignment vertical="center"/>
    </xf>
    <xf numFmtId="0" fontId="2" fillId="13" borderId="1" xfId="4" applyFont="1" applyFill="1" applyBorder="1"/>
    <xf numFmtId="0" fontId="1" fillId="0" borderId="48" xfId="4" applyBorder="1" applyAlignment="1">
      <alignment horizontal="center" vertical="center"/>
    </xf>
    <xf numFmtId="10" fontId="0" fillId="0" borderId="11" xfId="6" applyNumberFormat="1" applyFont="1" applyFill="1" applyBorder="1"/>
    <xf numFmtId="166" fontId="38" fillId="14" borderId="6" xfId="4" applyNumberFormat="1" applyFont="1" applyFill="1" applyBorder="1" applyAlignment="1">
      <alignment horizontal="center"/>
    </xf>
    <xf numFmtId="0" fontId="1" fillId="0" borderId="46" xfId="4" applyBorder="1"/>
    <xf numFmtId="10" fontId="0" fillId="0" borderId="9" xfId="6" applyNumberFormat="1" applyFont="1" applyFill="1" applyBorder="1"/>
    <xf numFmtId="0" fontId="1" fillId="0" borderId="31" xfId="4" applyBorder="1" applyAlignment="1">
      <alignment vertical="center"/>
    </xf>
    <xf numFmtId="0" fontId="1" fillId="0" borderId="46" xfId="4" applyBorder="1" applyAlignment="1">
      <alignment horizontal="center" vertical="center"/>
    </xf>
    <xf numFmtId="10" fontId="18" fillId="0" borderId="0" xfId="6" applyNumberFormat="1" applyFont="1" applyFill="1" applyBorder="1"/>
    <xf numFmtId="0" fontId="1" fillId="11" borderId="46" xfId="4" applyFill="1" applyBorder="1" applyAlignment="1">
      <alignment vertical="center"/>
    </xf>
    <xf numFmtId="0" fontId="1" fillId="0" borderId="34" xfId="4" applyBorder="1" applyAlignment="1">
      <alignment horizontal="center" vertical="center"/>
    </xf>
    <xf numFmtId="0" fontId="1" fillId="0" borderId="0" xfId="4" applyAlignment="1">
      <alignment vertical="center"/>
    </xf>
    <xf numFmtId="10" fontId="1" fillId="0" borderId="7" xfId="4" applyNumberFormat="1" applyBorder="1"/>
    <xf numFmtId="9" fontId="0" fillId="2" borderId="33" xfId="6" applyFont="1" applyFill="1" applyBorder="1" applyAlignment="1">
      <alignment vertical="center"/>
    </xf>
    <xf numFmtId="0" fontId="1" fillId="0" borderId="1" xfId="4" applyBorder="1"/>
    <xf numFmtId="0" fontId="1" fillId="0" borderId="32" xfId="4" applyBorder="1" applyAlignment="1">
      <alignment horizontal="center" vertical="center"/>
    </xf>
    <xf numFmtId="0" fontId="1" fillId="0" borderId="16" xfId="4" applyBorder="1" applyAlignment="1">
      <alignment vertical="center"/>
    </xf>
    <xf numFmtId="10" fontId="1" fillId="0" borderId="12" xfId="4" applyNumberFormat="1" applyBorder="1"/>
    <xf numFmtId="0" fontId="1" fillId="0" borderId="47" xfId="4" applyBorder="1" applyAlignment="1">
      <alignment horizontal="center" vertical="center"/>
    </xf>
    <xf numFmtId="0" fontId="1" fillId="0" borderId="48" xfId="4" applyBorder="1" applyAlignment="1">
      <alignment vertical="center"/>
    </xf>
    <xf numFmtId="10" fontId="0" fillId="0" borderId="48" xfId="6" applyNumberFormat="1" applyFont="1" applyFill="1" applyBorder="1"/>
    <xf numFmtId="10" fontId="1" fillId="0" borderId="11" xfId="4" applyNumberFormat="1" applyBorder="1"/>
    <xf numFmtId="9" fontId="1" fillId="2" borderId="33" xfId="4" applyNumberFormat="1" applyFill="1" applyBorder="1"/>
    <xf numFmtId="10" fontId="2" fillId="0" borderId="0" xfId="6" applyNumberFormat="1" applyFont="1" applyFill="1" applyBorder="1"/>
    <xf numFmtId="0" fontId="1" fillId="2" borderId="36" xfId="4" applyFill="1" applyBorder="1"/>
    <xf numFmtId="0" fontId="1" fillId="2" borderId="45" xfId="4" applyFill="1" applyBorder="1"/>
    <xf numFmtId="0" fontId="1" fillId="2" borderId="45" xfId="4" applyFill="1" applyBorder="1" applyAlignment="1">
      <alignment horizontal="center"/>
    </xf>
    <xf numFmtId="0" fontId="1" fillId="2" borderId="37" xfId="4" applyFill="1" applyBorder="1"/>
    <xf numFmtId="0" fontId="19" fillId="0" borderId="47" xfId="4" applyFont="1" applyBorder="1"/>
    <xf numFmtId="0" fontId="1" fillId="11" borderId="31" xfId="4" applyFill="1" applyBorder="1" applyAlignment="1">
      <alignment horizontal="center" vertical="center"/>
    </xf>
    <xf numFmtId="10" fontId="1" fillId="11" borderId="9" xfId="4" applyNumberFormat="1" applyFill="1" applyBorder="1" applyAlignment="1">
      <alignment vertical="center"/>
    </xf>
    <xf numFmtId="0" fontId="1" fillId="0" borderId="47" xfId="4" applyBorder="1"/>
    <xf numFmtId="0" fontId="1" fillId="0" borderId="48" xfId="4" applyBorder="1"/>
    <xf numFmtId="0" fontId="1" fillId="0" borderId="11" xfId="4" applyBorder="1"/>
    <xf numFmtId="10" fontId="0" fillId="0" borderId="0" xfId="6" applyNumberFormat="1" applyFont="1" applyFill="1"/>
    <xf numFmtId="0" fontId="19" fillId="0" borderId="0" xfId="4" applyFont="1"/>
    <xf numFmtId="0" fontId="4" fillId="8" borderId="21" xfId="2" applyFont="1" applyFill="1" applyBorder="1" applyAlignment="1">
      <alignment wrapText="1"/>
    </xf>
    <xf numFmtId="0" fontId="27" fillId="8" borderId="30" xfId="2" applyFont="1" applyFill="1" applyBorder="1" applyAlignment="1">
      <alignment wrapText="1"/>
    </xf>
    <xf numFmtId="0" fontId="4" fillId="8" borderId="25" xfId="2" applyFont="1" applyFill="1" applyBorder="1" applyAlignment="1">
      <alignment wrapText="1"/>
    </xf>
    <xf numFmtId="0" fontId="4" fillId="8" borderId="38" xfId="2" applyFont="1" applyFill="1" applyBorder="1" applyAlignment="1">
      <alignment wrapText="1"/>
    </xf>
    <xf numFmtId="0" fontId="27" fillId="8" borderId="21" xfId="2" applyFont="1" applyFill="1" applyBorder="1" applyAlignment="1">
      <alignment wrapText="1"/>
    </xf>
    <xf numFmtId="0" fontId="4" fillId="8" borderId="26" xfId="2" applyFont="1" applyFill="1" applyBorder="1" applyAlignment="1">
      <alignment wrapText="1"/>
    </xf>
    <xf numFmtId="0" fontId="4" fillId="8" borderId="39" xfId="2" applyFont="1" applyFill="1" applyBorder="1" applyAlignment="1">
      <alignment wrapText="1"/>
    </xf>
    <xf numFmtId="0" fontId="4" fillId="8" borderId="11" xfId="2" applyFont="1" applyFill="1" applyBorder="1" applyAlignment="1">
      <alignment horizontal="left" wrapText="1"/>
    </xf>
    <xf numFmtId="0" fontId="4" fillId="8" borderId="1" xfId="2" applyFont="1" applyFill="1" applyBorder="1" applyAlignment="1">
      <alignment wrapText="1"/>
    </xf>
    <xf numFmtId="0" fontId="4" fillId="8" borderId="31" xfId="2" applyFont="1" applyFill="1" applyBorder="1" applyAlignment="1">
      <alignment wrapText="1"/>
    </xf>
    <xf numFmtId="0" fontId="27" fillId="8" borderId="40" xfId="2" applyFont="1" applyFill="1" applyBorder="1" applyAlignment="1">
      <alignment wrapText="1"/>
    </xf>
    <xf numFmtId="165" fontId="24" fillId="0" borderId="49" xfId="2" applyNumberFormat="1" applyFont="1" applyBorder="1" applyAlignment="1">
      <alignment wrapText="1"/>
    </xf>
    <xf numFmtId="0" fontId="4" fillId="5" borderId="28" xfId="2" applyFont="1" applyFill="1" applyBorder="1" applyAlignment="1">
      <alignment horizontal="left" wrapText="1"/>
    </xf>
    <xf numFmtId="0" fontId="24" fillId="7" borderId="10" xfId="2" applyFont="1" applyFill="1" applyBorder="1" applyAlignment="1" applyProtection="1">
      <alignment horizontal="center" wrapText="1"/>
      <protection locked="0"/>
    </xf>
    <xf numFmtId="0" fontId="24" fillId="7" borderId="3" xfId="2" applyFont="1" applyFill="1" applyBorder="1" applyAlignment="1" applyProtection="1">
      <alignment horizontal="center" wrapText="1"/>
      <protection locked="0"/>
    </xf>
    <xf numFmtId="0" fontId="4" fillId="8" borderId="4" xfId="3" applyFont="1" applyFill="1" applyBorder="1" applyAlignment="1">
      <alignment horizontal="left" wrapText="1"/>
    </xf>
    <xf numFmtId="0" fontId="24" fillId="0" borderId="50" xfId="2" applyFont="1" applyBorder="1" applyAlignment="1">
      <alignment wrapText="1"/>
    </xf>
    <xf numFmtId="0" fontId="4" fillId="8" borderId="15" xfId="3" applyFont="1" applyFill="1" applyBorder="1" applyAlignment="1">
      <alignment horizontal="left" wrapText="1"/>
    </xf>
    <xf numFmtId="0" fontId="4" fillId="8" borderId="30" xfId="3" applyFont="1" applyFill="1" applyBorder="1" applyAlignment="1">
      <alignment horizontal="left" wrapText="1"/>
    </xf>
    <xf numFmtId="0" fontId="3" fillId="0" borderId="2" xfId="3" applyFont="1" applyBorder="1" applyAlignment="1">
      <alignment horizontal="center" wrapText="1"/>
    </xf>
    <xf numFmtId="0" fontId="24" fillId="7" borderId="24" xfId="3" applyFont="1" applyFill="1" applyBorder="1" applyAlignment="1" applyProtection="1">
      <alignment horizontal="center" wrapText="1"/>
      <protection locked="0"/>
    </xf>
    <xf numFmtId="0" fontId="3" fillId="0" borderId="28" xfId="3" applyFont="1" applyBorder="1" applyAlignment="1">
      <alignment horizontal="center" wrapText="1"/>
    </xf>
    <xf numFmtId="0" fontId="24" fillId="7" borderId="10" xfId="3" applyFont="1" applyFill="1" applyBorder="1" applyAlignment="1" applyProtection="1">
      <alignment horizontal="center" wrapText="1"/>
      <protection locked="0"/>
    </xf>
    <xf numFmtId="0" fontId="24" fillId="7" borderId="51" xfId="3" applyFont="1" applyFill="1" applyBorder="1" applyAlignment="1" applyProtection="1">
      <alignment horizontal="center" wrapText="1"/>
      <protection locked="0"/>
    </xf>
    <xf numFmtId="0" fontId="3" fillId="0" borderId="42" xfId="3" applyFont="1" applyBorder="1" applyAlignment="1">
      <alignment horizontal="center" wrapText="1"/>
    </xf>
    <xf numFmtId="0" fontId="4" fillId="8" borderId="4" xfId="3" applyFont="1" applyFill="1" applyBorder="1" applyAlignment="1">
      <alignment wrapText="1"/>
    </xf>
    <xf numFmtId="0" fontId="4" fillId="8" borderId="38" xfId="3" applyFont="1" applyFill="1" applyBorder="1" applyAlignment="1">
      <alignment wrapText="1"/>
    </xf>
    <xf numFmtId="0" fontId="4" fillId="8" borderId="13" xfId="3" applyFont="1" applyFill="1" applyBorder="1" applyAlignment="1">
      <alignment wrapText="1"/>
    </xf>
    <xf numFmtId="165" fontId="24" fillId="0" borderId="27" xfId="3" applyNumberFormat="1" applyFont="1" applyBorder="1" applyAlignment="1">
      <alignment wrapText="1"/>
    </xf>
    <xf numFmtId="165" fontId="24" fillId="0" borderId="29" xfId="3" applyNumberFormat="1" applyFont="1" applyBorder="1" applyAlignment="1">
      <alignment wrapText="1"/>
    </xf>
    <xf numFmtId="0" fontId="3" fillId="0" borderId="42" xfId="3" applyFont="1" applyBorder="1" applyAlignment="1">
      <alignment wrapText="1"/>
    </xf>
    <xf numFmtId="9" fontId="3" fillId="0" borderId="52" xfId="5" applyFont="1" applyBorder="1" applyAlignment="1" applyProtection="1">
      <alignment horizontal="center" wrapText="1"/>
    </xf>
    <xf numFmtId="165" fontId="3" fillId="0" borderId="43" xfId="3" applyNumberFormat="1" applyFont="1" applyBorder="1" applyAlignment="1">
      <alignment wrapText="1"/>
    </xf>
    <xf numFmtId="167" fontId="10" fillId="0" borderId="0" xfId="0" applyNumberFormat="1" applyFont="1" applyAlignment="1">
      <alignment wrapText="1"/>
    </xf>
    <xf numFmtId="0" fontId="0" fillId="0" borderId="32" xfId="4" applyFont="1" applyBorder="1" applyAlignment="1">
      <alignment vertical="center"/>
    </xf>
    <xf numFmtId="0" fontId="0" fillId="0" borderId="34" xfId="4" applyFont="1" applyBorder="1" applyAlignment="1">
      <alignment vertical="center"/>
    </xf>
    <xf numFmtId="0" fontId="0" fillId="0" borderId="47" xfId="4" applyFont="1" applyBorder="1" applyAlignment="1">
      <alignment vertical="center"/>
    </xf>
    <xf numFmtId="0" fontId="21" fillId="0" borderId="45" xfId="2" applyBorder="1" applyAlignment="1">
      <alignment horizontal="left" wrapText="1"/>
    </xf>
    <xf numFmtId="0" fontId="9" fillId="0" borderId="1" xfId="0" applyFont="1" applyBorder="1" applyAlignment="1">
      <alignment horizontal="center" vertical="center" wrapText="1"/>
    </xf>
    <xf numFmtId="0" fontId="44" fillId="0" borderId="1" xfId="0" applyFont="1" applyBorder="1" applyAlignment="1">
      <alignment vertical="top" wrapText="1"/>
    </xf>
    <xf numFmtId="0" fontId="18" fillId="0" borderId="0" xfId="0" applyFont="1"/>
    <xf numFmtId="0" fontId="46" fillId="0" borderId="0" xfId="0" applyFont="1"/>
    <xf numFmtId="0" fontId="1" fillId="0" borderId="0" xfId="4" applyAlignment="1">
      <alignment horizontal="center" vertical="center"/>
    </xf>
    <xf numFmtId="0" fontId="42" fillId="17" borderId="0" xfId="0" applyFont="1" applyFill="1" applyAlignment="1">
      <alignment horizontal="left" vertical="top"/>
    </xf>
    <xf numFmtId="0" fontId="43" fillId="17" borderId="20" xfId="0" applyFont="1" applyFill="1" applyBorder="1" applyAlignment="1">
      <alignment horizontal="left" vertical="top"/>
    </xf>
    <xf numFmtId="0" fontId="19" fillId="0" borderId="46" xfId="4" applyFont="1" applyBorder="1" applyAlignment="1">
      <alignment horizontal="center" vertical="center"/>
    </xf>
    <xf numFmtId="0" fontId="19" fillId="0" borderId="9" xfId="4" applyFont="1" applyBorder="1" applyAlignment="1">
      <alignment horizontal="center" vertical="center"/>
    </xf>
    <xf numFmtId="9" fontId="47" fillId="0" borderId="1" xfId="4" applyNumberFormat="1" applyFont="1" applyBorder="1" applyAlignment="1">
      <alignment horizontal="center"/>
    </xf>
    <xf numFmtId="0" fontId="26" fillId="8" borderId="18" xfId="4" applyFont="1" applyFill="1" applyBorder="1" applyAlignment="1">
      <alignment vertical="center"/>
    </xf>
    <xf numFmtId="0" fontId="11" fillId="0" borderId="0" xfId="0" applyFont="1"/>
    <xf numFmtId="0" fontId="9" fillId="0" borderId="3" xfId="0" applyFont="1" applyBorder="1" applyAlignment="1">
      <alignment horizontal="center" vertical="center" wrapText="1"/>
    </xf>
    <xf numFmtId="0" fontId="9" fillId="16" borderId="1" xfId="0" applyFont="1" applyFill="1" applyBorder="1" applyAlignment="1">
      <alignment horizontal="center" vertical="center" wrapText="1"/>
    </xf>
    <xf numFmtId="0" fontId="16" fillId="8" borderId="23"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5" xfId="0" applyFont="1" applyBorder="1" applyAlignment="1">
      <alignment horizontal="center" vertical="center" wrapText="1"/>
    </xf>
    <xf numFmtId="44" fontId="9" fillId="0" borderId="1" xfId="0" applyNumberFormat="1" applyFont="1" applyBorder="1" applyAlignment="1">
      <alignment horizontal="center" vertical="center" wrapText="1"/>
    </xf>
    <xf numFmtId="44" fontId="9" fillId="0" borderId="3" xfId="0" applyNumberFormat="1" applyFont="1" applyBorder="1" applyAlignment="1">
      <alignment horizontal="center" vertical="center" wrapText="1"/>
    </xf>
    <xf numFmtId="44" fontId="9" fillId="0" borderId="5" xfId="0" applyNumberFormat="1" applyFont="1" applyBorder="1" applyAlignment="1">
      <alignment horizontal="center" vertical="center" wrapText="1"/>
    </xf>
    <xf numFmtId="0" fontId="11" fillId="0" borderId="0" xfId="0" applyFont="1" applyAlignment="1">
      <alignment wrapText="1"/>
    </xf>
    <xf numFmtId="0" fontId="9" fillId="0" borderId="0" xfId="0" applyFont="1"/>
    <xf numFmtId="167" fontId="9" fillId="0" borderId="0" xfId="0" applyNumberFormat="1" applyFont="1" applyAlignment="1">
      <alignment wrapText="1"/>
    </xf>
    <xf numFmtId="0" fontId="9" fillId="0" borderId="0" xfId="0" applyFont="1" applyAlignment="1">
      <alignment vertical="top"/>
    </xf>
    <xf numFmtId="0" fontId="49" fillId="0" borderId="0" xfId="2" applyFont="1"/>
    <xf numFmtId="164" fontId="9" fillId="0" borderId="0" xfId="0" applyNumberFormat="1" applyFont="1" applyAlignment="1">
      <alignment horizontal="left" vertical="top" wrapText="1"/>
    </xf>
    <xf numFmtId="0" fontId="9" fillId="0" borderId="0" xfId="2" applyFont="1"/>
    <xf numFmtId="0" fontId="10" fillId="0" borderId="0" xfId="0" applyFont="1" applyAlignment="1">
      <alignment horizontal="left" vertical="top"/>
    </xf>
    <xf numFmtId="0" fontId="10" fillId="0" borderId="0" xfId="0" applyFont="1" applyAlignment="1">
      <alignment horizontal="left" vertical="top" wrapText="1"/>
    </xf>
    <xf numFmtId="167" fontId="10" fillId="0" borderId="0" xfId="0" applyNumberFormat="1" applyFont="1" applyAlignment="1">
      <alignment horizontal="left" vertical="top" wrapText="1"/>
    </xf>
    <xf numFmtId="0" fontId="45" fillId="0" borderId="0" xfId="2" applyFont="1" applyAlignment="1">
      <alignment horizontal="left" vertical="top"/>
    </xf>
    <xf numFmtId="0" fontId="10" fillId="0" borderId="0" xfId="2" applyFont="1" applyAlignment="1">
      <alignment horizontal="left" vertical="top"/>
    </xf>
    <xf numFmtId="0" fontId="12" fillId="8" borderId="42" xfId="0" applyFont="1" applyFill="1" applyBorder="1" applyAlignment="1">
      <alignment wrapText="1"/>
    </xf>
    <xf numFmtId="0" fontId="12" fillId="8" borderId="71" xfId="0" applyFont="1" applyFill="1" applyBorder="1" applyAlignment="1">
      <alignment wrapText="1"/>
    </xf>
    <xf numFmtId="0" fontId="13" fillId="8" borderId="42" xfId="0" applyFont="1" applyFill="1" applyBorder="1" applyAlignment="1">
      <alignment horizontal="left" vertical="center" wrapText="1"/>
    </xf>
    <xf numFmtId="0" fontId="15" fillId="8" borderId="71" xfId="0" applyFont="1" applyFill="1" applyBorder="1" applyAlignment="1">
      <alignment vertical="center"/>
    </xf>
    <xf numFmtId="0" fontId="12" fillId="8" borderId="71" xfId="0" applyFont="1" applyFill="1" applyBorder="1"/>
    <xf numFmtId="0" fontId="9" fillId="3" borderId="71" xfId="0" applyFont="1" applyFill="1" applyBorder="1" applyAlignment="1">
      <alignment horizontal="center" textRotation="90" wrapText="1"/>
    </xf>
    <xf numFmtId="0" fontId="9" fillId="4" borderId="71" xfId="0" applyFont="1" applyFill="1" applyBorder="1" applyAlignment="1">
      <alignment horizontal="center" textRotation="90" wrapText="1"/>
    </xf>
    <xf numFmtId="0" fontId="16" fillId="5" borderId="71" xfId="0" applyFont="1" applyFill="1" applyBorder="1" applyAlignment="1">
      <alignment horizontal="center" textRotation="90" wrapText="1"/>
    </xf>
    <xf numFmtId="0" fontId="16" fillId="8" borderId="71" xfId="0" applyFont="1" applyFill="1" applyBorder="1" applyAlignment="1">
      <alignment horizontal="center" vertical="center" wrapText="1"/>
    </xf>
    <xf numFmtId="44" fontId="16" fillId="8" borderId="43" xfId="0" applyNumberFormat="1" applyFont="1" applyFill="1" applyBorder="1" applyAlignment="1">
      <alignment horizontal="center" vertical="center" wrapText="1"/>
    </xf>
    <xf numFmtId="167" fontId="9" fillId="0" borderId="0" xfId="0" applyNumberFormat="1" applyFont="1" applyAlignment="1">
      <alignment vertical="top" wrapText="1"/>
    </xf>
    <xf numFmtId="0" fontId="9" fillId="15" borderId="2" xfId="0" applyFont="1" applyFill="1" applyBorder="1" applyAlignment="1">
      <alignment wrapText="1"/>
    </xf>
    <xf numFmtId="0" fontId="9" fillId="19" borderId="1" xfId="0" applyFont="1" applyFill="1" applyBorder="1" applyAlignment="1">
      <alignment horizontal="center" vertical="center" wrapText="1"/>
    </xf>
    <xf numFmtId="0" fontId="9" fillId="0" borderId="2" xfId="0" applyFont="1" applyBorder="1" applyAlignment="1">
      <alignment wrapText="1"/>
    </xf>
    <xf numFmtId="0" fontId="50" fillId="0" borderId="1" xfId="0" applyFont="1" applyBorder="1" applyAlignment="1">
      <alignment vertical="top" wrapText="1"/>
    </xf>
    <xf numFmtId="0" fontId="9" fillId="0" borderId="59" xfId="0" applyFont="1" applyBorder="1" applyAlignment="1">
      <alignment wrapText="1"/>
    </xf>
    <xf numFmtId="0" fontId="9" fillId="0" borderId="8" xfId="0" applyFont="1" applyBorder="1" applyAlignment="1">
      <alignment vertical="top" wrapText="1"/>
    </xf>
    <xf numFmtId="0" fontId="15" fillId="8" borderId="42" xfId="0" applyFont="1" applyFill="1" applyBorder="1" applyAlignment="1">
      <alignment horizontal="left" vertical="center" wrapText="1"/>
    </xf>
    <xf numFmtId="0" fontId="9" fillId="0" borderId="39" xfId="0" applyFont="1" applyBorder="1" applyAlignment="1">
      <alignment vertical="top" wrapText="1"/>
    </xf>
    <xf numFmtId="0" fontId="9" fillId="16" borderId="5" xfId="0" applyFont="1" applyFill="1" applyBorder="1" applyAlignment="1">
      <alignment horizontal="center" vertical="center" wrapText="1"/>
    </xf>
    <xf numFmtId="44" fontId="9" fillId="0" borderId="40" xfId="0" applyNumberFormat="1" applyFont="1" applyBorder="1" applyAlignment="1">
      <alignment horizontal="center" vertical="center" wrapText="1"/>
    </xf>
    <xf numFmtId="44" fontId="9" fillId="0" borderId="27" xfId="0" applyNumberFormat="1" applyFont="1" applyBorder="1" applyAlignment="1">
      <alignment horizontal="center" vertical="center" wrapText="1"/>
    </xf>
    <xf numFmtId="0" fontId="9" fillId="15" borderId="59" xfId="0" applyFont="1" applyFill="1" applyBorder="1" applyAlignment="1">
      <alignment vertical="top" wrapText="1"/>
    </xf>
    <xf numFmtId="0" fontId="9" fillId="19" borderId="8" xfId="0" applyFont="1" applyFill="1" applyBorder="1" applyAlignment="1">
      <alignment horizontal="center" vertical="center" wrapText="1"/>
    </xf>
    <xf numFmtId="0" fontId="9" fillId="0" borderId="59" xfId="0" applyFont="1" applyBorder="1" applyAlignment="1">
      <alignment vertical="top" wrapText="1"/>
    </xf>
    <xf numFmtId="44" fontId="9" fillId="0" borderId="60" xfId="0" applyNumberFormat="1" applyFont="1" applyBorder="1" applyAlignment="1">
      <alignment horizontal="center" vertical="center" wrapText="1"/>
    </xf>
    <xf numFmtId="0" fontId="9" fillId="15" borderId="39" xfId="0" applyFont="1" applyFill="1" applyBorder="1" applyAlignment="1">
      <alignment vertical="top" wrapText="1"/>
    </xf>
    <xf numFmtId="0" fontId="9" fillId="15" borderId="2" xfId="0" applyFont="1" applyFill="1" applyBorder="1" applyAlignment="1">
      <alignment vertical="top" wrapText="1"/>
    </xf>
    <xf numFmtId="0" fontId="9" fillId="0" borderId="3" xfId="0" applyFont="1" applyBorder="1" applyAlignment="1">
      <alignment vertical="top" wrapText="1"/>
    </xf>
    <xf numFmtId="44" fontId="9" fillId="0" borderId="29" xfId="0" applyNumberFormat="1" applyFont="1" applyBorder="1" applyAlignment="1">
      <alignment horizontal="center" vertical="center" wrapText="1"/>
    </xf>
    <xf numFmtId="0" fontId="12" fillId="8" borderId="26" xfId="0" applyFont="1" applyFill="1" applyBorder="1" applyAlignment="1">
      <alignment horizontal="center" wrapText="1"/>
    </xf>
    <xf numFmtId="44" fontId="16" fillId="8" borderId="71" xfId="0" applyNumberFormat="1" applyFont="1" applyFill="1" applyBorder="1" applyAlignment="1">
      <alignment horizontal="center" vertical="center" wrapText="1"/>
    </xf>
    <xf numFmtId="44" fontId="9" fillId="3" borderId="8" xfId="0" applyNumberFormat="1" applyFont="1" applyFill="1" applyBorder="1" applyAlignment="1">
      <alignment horizontal="center" vertical="center" wrapText="1"/>
    </xf>
    <xf numFmtId="44" fontId="9" fillId="0" borderId="8" xfId="0" applyNumberFormat="1" applyFont="1" applyBorder="1" applyAlignment="1">
      <alignment horizontal="center" vertical="center" wrapText="1"/>
    </xf>
    <xf numFmtId="44" fontId="9" fillId="3" borderId="5" xfId="0" applyNumberFormat="1" applyFont="1" applyFill="1" applyBorder="1" applyAlignment="1">
      <alignment horizontal="center" vertical="center" wrapText="1"/>
    </xf>
    <xf numFmtId="44" fontId="9" fillId="3" borderId="1" xfId="0" applyNumberFormat="1" applyFont="1" applyFill="1" applyBorder="1" applyAlignment="1">
      <alignment horizontal="center" vertical="center" wrapText="1"/>
    </xf>
    <xf numFmtId="0" fontId="50" fillId="0" borderId="1" xfId="0" applyFont="1" applyBorder="1" applyAlignment="1">
      <alignment horizontal="center" vertical="center" wrapText="1"/>
    </xf>
    <xf numFmtId="165" fontId="51" fillId="0" borderId="22" xfId="0" applyNumberFormat="1" applyFont="1" applyBorder="1"/>
    <xf numFmtId="0" fontId="41" fillId="17" borderId="0" xfId="0" applyFont="1" applyFill="1" applyAlignment="1">
      <alignment horizontal="left" vertical="top"/>
    </xf>
    <xf numFmtId="0" fontId="0" fillId="0" borderId="0" xfId="0" applyAlignment="1">
      <alignment horizontal="left" vertical="top"/>
    </xf>
    <xf numFmtId="0" fontId="0" fillId="0" borderId="55" xfId="0" applyBorder="1" applyAlignment="1">
      <alignment horizontal="left" vertical="top" wrapText="1"/>
    </xf>
    <xf numFmtId="0" fontId="0" fillId="0" borderId="55" xfId="0" applyBorder="1" applyAlignment="1">
      <alignment horizontal="left" vertical="top"/>
    </xf>
    <xf numFmtId="14" fontId="0" fillId="0" borderId="55" xfId="0" applyNumberFormat="1" applyBorder="1" applyAlignment="1">
      <alignment horizontal="left" vertical="top"/>
    </xf>
    <xf numFmtId="0" fontId="9" fillId="3" borderId="8" xfId="0" applyFont="1" applyFill="1" applyBorder="1" applyAlignment="1">
      <alignment horizontal="center" vertical="center" wrapText="1"/>
    </xf>
    <xf numFmtId="0" fontId="16" fillId="0" borderId="0" xfId="0" applyFont="1" applyAlignment="1">
      <alignment vertical="top" wrapText="1"/>
    </xf>
    <xf numFmtId="0" fontId="24" fillId="0" borderId="1" xfId="2" applyFont="1" applyBorder="1" applyAlignment="1">
      <alignment horizontal="center" wrapText="1"/>
    </xf>
    <xf numFmtId="0" fontId="31" fillId="2" borderId="43" xfId="4" applyFont="1" applyFill="1" applyBorder="1" applyAlignment="1">
      <alignment horizontal="center" vertical="center"/>
    </xf>
    <xf numFmtId="0" fontId="0" fillId="0" borderId="62" xfId="0" applyBorder="1" applyAlignment="1" applyProtection="1">
      <alignment horizontal="center" vertical="center"/>
      <protection locked="0"/>
    </xf>
    <xf numFmtId="167" fontId="0" fillId="0" borderId="62" xfId="0" applyNumberFormat="1" applyBorder="1" applyProtection="1">
      <protection locked="0"/>
    </xf>
    <xf numFmtId="170" fontId="0" fillId="0" borderId="62" xfId="0" applyNumberFormat="1" applyBorder="1" applyProtection="1">
      <protection locked="0"/>
    </xf>
    <xf numFmtId="0" fontId="0" fillId="0" borderId="65" xfId="0" applyBorder="1" applyAlignment="1" applyProtection="1">
      <alignment horizontal="center" vertical="center"/>
      <protection locked="0"/>
    </xf>
    <xf numFmtId="0" fontId="3" fillId="20" borderId="39" xfId="2" applyFont="1" applyFill="1" applyBorder="1" applyAlignment="1">
      <alignment wrapText="1"/>
    </xf>
    <xf numFmtId="0" fontId="9" fillId="20" borderId="18" xfId="0" applyFont="1" applyFill="1" applyBorder="1" applyAlignment="1">
      <alignment horizontal="center" textRotation="90" wrapText="1"/>
    </xf>
    <xf numFmtId="0" fontId="9" fillId="19" borderId="6" xfId="0" applyFont="1" applyFill="1" applyBorder="1" applyAlignment="1">
      <alignment horizontal="center" vertical="center" wrapText="1"/>
    </xf>
    <xf numFmtId="0" fontId="0" fillId="21" borderId="0" xfId="0" applyFill="1"/>
    <xf numFmtId="0" fontId="55" fillId="21" borderId="0" xfId="0" applyFont="1" applyFill="1"/>
    <xf numFmtId="0" fontId="0" fillId="2" borderId="0" xfId="0" applyFill="1"/>
    <xf numFmtId="0" fontId="19" fillId="2" borderId="0" xfId="0" applyFont="1" applyFill="1"/>
    <xf numFmtId="0" fontId="0" fillId="2" borderId="0" xfId="0" applyFill="1" applyAlignment="1">
      <alignment wrapText="1"/>
    </xf>
    <xf numFmtId="0" fontId="0" fillId="2" borderId="0" xfId="0" applyFill="1" applyAlignment="1">
      <alignment vertical="center" wrapText="1"/>
    </xf>
    <xf numFmtId="0" fontId="19" fillId="2" borderId="0" xfId="0" applyFont="1" applyFill="1" applyAlignment="1">
      <alignment wrapText="1"/>
    </xf>
    <xf numFmtId="0" fontId="0" fillId="2" borderId="0" xfId="0" applyFill="1" applyAlignment="1">
      <alignment vertical="center"/>
    </xf>
    <xf numFmtId="0" fontId="0" fillId="2" borderId="0" xfId="0" applyFill="1" applyAlignment="1">
      <alignment vertical="top" wrapText="1"/>
    </xf>
    <xf numFmtId="0" fontId="0" fillId="2" borderId="0" xfId="0" quotePrefix="1" applyFill="1" applyAlignment="1">
      <alignment wrapText="1"/>
    </xf>
    <xf numFmtId="0" fontId="57" fillId="2" borderId="0" xfId="14" applyFill="1"/>
    <xf numFmtId="15" fontId="6" fillId="0" borderId="0" xfId="2" applyNumberFormat="1" applyFont="1" applyAlignment="1">
      <alignment horizontal="left" wrapText="1"/>
    </xf>
    <xf numFmtId="0" fontId="6" fillId="0" borderId="0" xfId="2" applyFont="1"/>
    <xf numFmtId="0" fontId="0" fillId="0" borderId="1" xfId="0" applyBorder="1" applyAlignment="1">
      <alignment horizontal="left"/>
    </xf>
    <xf numFmtId="0" fontId="57" fillId="16" borderId="8" xfId="14" applyFill="1" applyBorder="1" applyProtection="1"/>
    <xf numFmtId="0" fontId="0" fillId="16" borderId="8" xfId="0" applyFill="1" applyBorder="1" applyAlignment="1">
      <alignment horizontal="left"/>
    </xf>
    <xf numFmtId="0" fontId="10" fillId="0" borderId="1" xfId="0" applyFont="1" applyBorder="1" applyAlignment="1">
      <alignment wrapText="1"/>
    </xf>
    <xf numFmtId="8" fontId="9" fillId="0" borderId="1" xfId="0" applyNumberFormat="1" applyFont="1" applyBorder="1" applyAlignment="1">
      <alignment horizontal="center" vertical="center" wrapText="1"/>
    </xf>
    <xf numFmtId="44" fontId="9" fillId="0" borderId="40" xfId="1" applyFont="1" applyFill="1" applyBorder="1" applyAlignment="1" applyProtection="1">
      <alignment horizontal="center" vertical="center" wrapText="1"/>
    </xf>
    <xf numFmtId="0" fontId="9" fillId="0" borderId="1" xfId="0" applyFont="1" applyBorder="1" applyAlignment="1">
      <alignment vertical="center" wrapText="1"/>
    </xf>
    <xf numFmtId="44" fontId="9" fillId="0" borderId="27" xfId="1" applyFont="1" applyFill="1" applyBorder="1" applyAlignment="1" applyProtection="1">
      <alignment horizontal="center" vertical="center" wrapText="1"/>
    </xf>
    <xf numFmtId="44" fontId="9" fillId="0" borderId="60" xfId="1" applyFont="1" applyFill="1" applyBorder="1" applyAlignment="1" applyProtection="1">
      <alignment horizontal="center" vertical="center" wrapText="1"/>
    </xf>
    <xf numFmtId="8" fontId="9" fillId="0" borderId="5" xfId="0" applyNumberFormat="1" applyFont="1" applyBorder="1" applyAlignment="1">
      <alignment horizontal="center" vertical="center" wrapText="1"/>
    </xf>
    <xf numFmtId="44" fontId="9" fillId="0" borderId="5" xfId="1" applyFont="1" applyBorder="1" applyAlignment="1" applyProtection="1">
      <alignment vertical="top" wrapText="1"/>
    </xf>
    <xf numFmtId="44" fontId="9" fillId="0" borderId="3" xfId="1" applyFont="1" applyBorder="1" applyAlignment="1" applyProtection="1">
      <alignment vertical="top" wrapText="1"/>
    </xf>
    <xf numFmtId="44" fontId="9" fillId="0" borderId="0" xfId="1" applyFont="1" applyAlignment="1" applyProtection="1">
      <alignment vertical="top" wrapText="1"/>
    </xf>
    <xf numFmtId="167" fontId="9" fillId="0" borderId="0" xfId="1" applyNumberFormat="1" applyFont="1" applyAlignment="1" applyProtection="1">
      <alignment vertical="top" wrapText="1"/>
    </xf>
    <xf numFmtId="0" fontId="9" fillId="0" borderId="45" xfId="0" applyFont="1" applyBorder="1" applyAlignment="1">
      <alignment vertical="top" wrapText="1"/>
    </xf>
    <xf numFmtId="167" fontId="9" fillId="0" borderId="45" xfId="1" applyNumberFormat="1" applyFont="1" applyBorder="1" applyAlignment="1" applyProtection="1">
      <alignment vertical="top" wrapText="1"/>
    </xf>
    <xf numFmtId="165" fontId="51" fillId="0" borderId="0" xfId="0" applyNumberFormat="1" applyFont="1"/>
    <xf numFmtId="0" fontId="10" fillId="0" borderId="72" xfId="0" applyFont="1" applyBorder="1" applyAlignment="1">
      <alignment vertical="top" wrapText="1"/>
    </xf>
    <xf numFmtId="0" fontId="9" fillId="0" borderId="22" xfId="0" applyFont="1" applyBorder="1" applyAlignment="1">
      <alignment vertical="top" wrapText="1"/>
    </xf>
    <xf numFmtId="0" fontId="9" fillId="0" borderId="22" xfId="0" applyFont="1" applyBorder="1" applyAlignment="1">
      <alignment horizontal="left" vertical="top" wrapText="1"/>
    </xf>
    <xf numFmtId="44" fontId="9" fillId="0" borderId="22" xfId="1" applyFont="1" applyBorder="1" applyAlignment="1" applyProtection="1">
      <alignment vertical="top" wrapText="1"/>
    </xf>
    <xf numFmtId="167" fontId="9" fillId="0" borderId="0" xfId="1" applyNumberFormat="1" applyFont="1" applyBorder="1" applyAlignment="1" applyProtection="1">
      <alignment vertical="top" wrapText="1"/>
    </xf>
    <xf numFmtId="167" fontId="9" fillId="0" borderId="23" xfId="1" applyNumberFormat="1" applyFont="1" applyBorder="1" applyAlignment="1" applyProtection="1">
      <alignment vertical="top" wrapText="1"/>
    </xf>
    <xf numFmtId="44" fontId="9" fillId="0" borderId="0" xfId="1" applyFont="1" applyFill="1" applyBorder="1" applyAlignment="1" applyProtection="1">
      <alignment vertical="top" wrapText="1"/>
    </xf>
    <xf numFmtId="44" fontId="9" fillId="0" borderId="0" xfId="1" applyFont="1" applyBorder="1" applyAlignment="1" applyProtection="1">
      <alignment vertical="top" wrapText="1"/>
    </xf>
    <xf numFmtId="167" fontId="9" fillId="0" borderId="35" xfId="1" applyNumberFormat="1" applyFont="1" applyBorder="1" applyAlignment="1" applyProtection="1">
      <alignment vertical="top" wrapText="1"/>
    </xf>
    <xf numFmtId="0" fontId="9" fillId="0" borderId="33" xfId="0" applyFont="1" applyBorder="1" applyAlignment="1">
      <alignment vertical="top" wrapText="1"/>
    </xf>
    <xf numFmtId="0" fontId="52" fillId="0" borderId="33" xfId="0" applyFont="1" applyBorder="1" applyAlignment="1">
      <alignment horizontal="left" vertical="center" indent="5"/>
    </xf>
    <xf numFmtId="0" fontId="52" fillId="0" borderId="0" xfId="0" applyFont="1" applyAlignment="1">
      <alignment horizontal="left" vertical="center" indent="5"/>
    </xf>
    <xf numFmtId="0" fontId="0" fillId="0" borderId="55" xfId="0" applyBorder="1" applyAlignment="1">
      <alignment horizontal="justify" vertical="top" wrapText="1"/>
    </xf>
    <xf numFmtId="0" fontId="10" fillId="16" borderId="1" xfId="0" applyFont="1" applyFill="1" applyBorder="1" applyAlignment="1">
      <alignment horizontal="left" vertical="top" wrapText="1"/>
    </xf>
    <xf numFmtId="0" fontId="9" fillId="0" borderId="1" xfId="0" applyFont="1" applyBorder="1" applyAlignment="1">
      <alignment horizontal="left" vertical="top" wrapText="1"/>
    </xf>
    <xf numFmtId="0" fontId="57" fillId="2" borderId="0" xfId="14" applyFill="1" applyBorder="1" applyAlignment="1" applyProtection="1">
      <alignment horizontal="left" vertical="top" wrapText="1"/>
    </xf>
    <xf numFmtId="14" fontId="10" fillId="0" borderId="0" xfId="0" applyNumberFormat="1" applyFont="1" applyAlignment="1">
      <alignment horizontal="left" vertical="top" wrapText="1"/>
    </xf>
    <xf numFmtId="0" fontId="2" fillId="0" borderId="55" xfId="0" applyFont="1" applyBorder="1" applyAlignment="1">
      <alignment horizontal="left" vertical="top"/>
    </xf>
    <xf numFmtId="0" fontId="21" fillId="0" borderId="0" xfId="2" applyAlignment="1">
      <alignment horizontal="left" vertical="top" wrapText="1"/>
    </xf>
    <xf numFmtId="0" fontId="23" fillId="0" borderId="0" xfId="2" applyFont="1" applyAlignment="1">
      <alignment wrapText="1"/>
    </xf>
    <xf numFmtId="0" fontId="12" fillId="8" borderId="71" xfId="0" applyFont="1" applyFill="1" applyBorder="1" applyAlignment="1">
      <alignment horizontal="center" wrapText="1"/>
    </xf>
    <xf numFmtId="0" fontId="9" fillId="0" borderId="0" xfId="0" applyFont="1" applyAlignment="1">
      <alignment horizontal="left" vertical="top" wrapText="1"/>
    </xf>
    <xf numFmtId="0" fontId="0" fillId="0" borderId="53" xfId="0" applyBorder="1" applyAlignment="1">
      <alignment horizontal="justify" vertical="top"/>
    </xf>
    <xf numFmtId="0" fontId="0" fillId="0" borderId="54" xfId="0" applyBorder="1" applyAlignment="1">
      <alignment horizontal="justify" vertical="top"/>
    </xf>
    <xf numFmtId="0" fontId="15" fillId="18" borderId="62" xfId="0" applyFont="1" applyFill="1" applyBorder="1" applyAlignment="1" applyProtection="1">
      <alignment horizontal="center" vertical="center" wrapText="1"/>
      <protection hidden="1"/>
    </xf>
    <xf numFmtId="0" fontId="15" fillId="18" borderId="65" xfId="0" applyFont="1" applyFill="1" applyBorder="1" applyAlignment="1" applyProtection="1">
      <alignment horizontal="center" vertical="center" wrapText="1"/>
      <protection hidden="1"/>
    </xf>
    <xf numFmtId="0" fontId="11" fillId="0" borderId="0" xfId="0" applyFont="1" applyProtection="1">
      <protection hidden="1"/>
    </xf>
    <xf numFmtId="0" fontId="10" fillId="0" borderId="0" xfId="0" applyFont="1" applyAlignment="1" applyProtection="1">
      <alignment wrapText="1"/>
      <protection hidden="1"/>
    </xf>
    <xf numFmtId="0" fontId="11" fillId="0" borderId="0" xfId="0" applyFont="1" applyAlignment="1" applyProtection="1">
      <alignment wrapText="1"/>
      <protection hidden="1"/>
    </xf>
    <xf numFmtId="0" fontId="10" fillId="0" borderId="0" xfId="0" applyFont="1" applyProtection="1">
      <protection hidden="1"/>
    </xf>
    <xf numFmtId="167" fontId="10" fillId="0" borderId="0" xfId="0" applyNumberFormat="1" applyFont="1" applyAlignment="1" applyProtection="1">
      <alignment wrapText="1"/>
      <protection hidden="1"/>
    </xf>
    <xf numFmtId="0" fontId="0" fillId="0" borderId="0" xfId="0" applyProtection="1">
      <protection hidden="1"/>
    </xf>
    <xf numFmtId="0" fontId="45" fillId="0" borderId="0" xfId="2" applyFont="1" applyProtection="1">
      <protection hidden="1"/>
    </xf>
    <xf numFmtId="164" fontId="10" fillId="0" borderId="0" xfId="0" applyNumberFormat="1" applyFont="1" applyAlignment="1" applyProtection="1">
      <alignment horizontal="left" vertical="top" wrapText="1"/>
      <protection hidden="1"/>
    </xf>
    <xf numFmtId="0" fontId="10" fillId="0" borderId="0" xfId="2" applyFont="1" applyProtection="1">
      <protection hidden="1"/>
    </xf>
    <xf numFmtId="0" fontId="46" fillId="0" borderId="0" xfId="0" applyFont="1" applyProtection="1">
      <protection hidden="1"/>
    </xf>
    <xf numFmtId="0" fontId="18" fillId="0" borderId="0" xfId="0" applyFont="1" applyProtection="1">
      <protection hidden="1"/>
    </xf>
    <xf numFmtId="0" fontId="17" fillId="8" borderId="18" xfId="0" applyFont="1" applyFill="1" applyBorder="1" applyAlignment="1" applyProtection="1">
      <alignment horizontal="center" textRotation="90" wrapText="1"/>
      <protection hidden="1"/>
    </xf>
    <xf numFmtId="0" fontId="2" fillId="20" borderId="18" xfId="0" applyFont="1" applyFill="1" applyBorder="1" applyAlignment="1" applyProtection="1">
      <alignment horizontal="center" textRotation="90" wrapText="1"/>
      <protection hidden="1"/>
    </xf>
    <xf numFmtId="0" fontId="2" fillId="3" borderId="18" xfId="0" applyFont="1" applyFill="1" applyBorder="1" applyAlignment="1" applyProtection="1">
      <alignment horizontal="center" textRotation="90" wrapText="1"/>
      <protection hidden="1"/>
    </xf>
    <xf numFmtId="0" fontId="2" fillId="4" borderId="18" xfId="0" applyFont="1" applyFill="1" applyBorder="1" applyAlignment="1" applyProtection="1">
      <alignment horizontal="center" textRotation="90" wrapText="1"/>
      <protection hidden="1"/>
    </xf>
    <xf numFmtId="0" fontId="20" fillId="5" borderId="18" xfId="0" applyFont="1" applyFill="1" applyBorder="1" applyAlignment="1" applyProtection="1">
      <alignment horizontal="center" textRotation="90" wrapText="1"/>
      <protection hidden="1"/>
    </xf>
    <xf numFmtId="0" fontId="17" fillId="5" borderId="19" xfId="0" applyFont="1" applyFill="1" applyBorder="1" applyAlignment="1" applyProtection="1">
      <alignment horizontal="center" textRotation="90" wrapText="1"/>
      <protection hidden="1"/>
    </xf>
    <xf numFmtId="0" fontId="0" fillId="0" borderId="18" xfId="0" applyBorder="1" applyProtection="1">
      <protection hidden="1"/>
    </xf>
    <xf numFmtId="0" fontId="0" fillId="0" borderId="19" xfId="0" applyBorder="1" applyProtection="1">
      <protection hidden="1"/>
    </xf>
    <xf numFmtId="0" fontId="15" fillId="8" borderId="67" xfId="0" applyFont="1" applyFill="1" applyBorder="1" applyAlignment="1" applyProtection="1">
      <alignment horizontal="left" wrapText="1"/>
      <protection hidden="1"/>
    </xf>
    <xf numFmtId="0" fontId="15" fillId="8" borderId="68" xfId="0" applyFont="1" applyFill="1" applyBorder="1" applyAlignment="1" applyProtection="1">
      <alignment wrapText="1"/>
      <protection hidden="1"/>
    </xf>
    <xf numFmtId="0" fontId="15" fillId="8" borderId="69" xfId="0" applyFont="1" applyFill="1" applyBorder="1" applyAlignment="1" applyProtection="1">
      <alignment wrapText="1"/>
      <protection hidden="1"/>
    </xf>
    <xf numFmtId="0" fontId="0" fillId="0" borderId="61" xfId="0" applyBorder="1" applyProtection="1">
      <protection hidden="1"/>
    </xf>
    <xf numFmtId="0" fontId="0" fillId="0" borderId="62" xfId="0" applyBorder="1" applyProtection="1">
      <protection hidden="1"/>
    </xf>
    <xf numFmtId="0" fontId="0" fillId="8" borderId="62" xfId="0" applyFill="1" applyBorder="1" applyAlignment="1" applyProtection="1">
      <alignment horizontal="center" vertical="center"/>
      <protection hidden="1"/>
    </xf>
    <xf numFmtId="0" fontId="15" fillId="8" borderId="62" xfId="0" applyFont="1" applyFill="1" applyBorder="1" applyAlignment="1" applyProtection="1">
      <alignment wrapText="1"/>
      <protection hidden="1"/>
    </xf>
    <xf numFmtId="0" fontId="15" fillId="8" borderId="63" xfId="0" applyFont="1" applyFill="1" applyBorder="1" applyAlignment="1" applyProtection="1">
      <alignment wrapText="1"/>
      <protection hidden="1"/>
    </xf>
    <xf numFmtId="0" fontId="15" fillId="8" borderId="61" xfId="0" applyFont="1" applyFill="1" applyBorder="1" applyAlignment="1" applyProtection="1">
      <alignment horizontal="left" wrapText="1"/>
      <protection hidden="1"/>
    </xf>
    <xf numFmtId="0" fontId="15" fillId="8" borderId="62" xfId="0" applyFont="1" applyFill="1" applyBorder="1" applyAlignment="1" applyProtection="1">
      <alignment horizontal="center" vertical="center" wrapText="1"/>
      <protection hidden="1"/>
    </xf>
    <xf numFmtId="0" fontId="13" fillId="8" borderId="63" xfId="0" applyFont="1" applyFill="1" applyBorder="1" applyAlignment="1" applyProtection="1">
      <alignment wrapText="1"/>
      <protection hidden="1"/>
    </xf>
    <xf numFmtId="0" fontId="0" fillId="8" borderId="62" xfId="0" applyFill="1" applyBorder="1" applyProtection="1">
      <protection hidden="1"/>
    </xf>
    <xf numFmtId="0" fontId="0" fillId="6" borderId="62" xfId="0" applyFill="1" applyBorder="1" applyAlignment="1" applyProtection="1">
      <alignment horizontal="center" vertical="center"/>
      <protection hidden="1"/>
    </xf>
    <xf numFmtId="0" fontId="0" fillId="0" borderId="57" xfId="0" applyBorder="1" applyProtection="1">
      <protection hidden="1"/>
    </xf>
    <xf numFmtId="0" fontId="0" fillId="0" borderId="58" xfId="0" applyBorder="1" applyProtection="1">
      <protection hidden="1"/>
    </xf>
    <xf numFmtId="0" fontId="0" fillId="8" borderId="56" xfId="0" applyFill="1" applyBorder="1" applyAlignment="1" applyProtection="1">
      <alignment horizontal="center" vertical="center"/>
      <protection hidden="1"/>
    </xf>
    <xf numFmtId="0" fontId="0" fillId="0" borderId="33" xfId="0" applyBorder="1" applyProtection="1">
      <protection hidden="1"/>
    </xf>
    <xf numFmtId="0" fontId="0" fillId="8" borderId="0" xfId="0" applyFill="1" applyAlignment="1" applyProtection="1">
      <alignment horizontal="center" vertical="center"/>
      <protection hidden="1"/>
    </xf>
    <xf numFmtId="0" fontId="0" fillId="8" borderId="66" xfId="0" applyFill="1" applyBorder="1" applyAlignment="1" applyProtection="1">
      <alignment horizontal="center" vertical="center"/>
      <protection hidden="1"/>
    </xf>
    <xf numFmtId="0" fontId="0" fillId="8" borderId="66" xfId="0" applyFill="1" applyBorder="1" applyProtection="1">
      <protection hidden="1"/>
    </xf>
    <xf numFmtId="0" fontId="15" fillId="8" borderId="70" xfId="0" applyFont="1" applyFill="1" applyBorder="1" applyAlignment="1" applyProtection="1">
      <alignment wrapText="1"/>
      <protection hidden="1"/>
    </xf>
    <xf numFmtId="0" fontId="0" fillId="0" borderId="64" xfId="0" applyBorder="1" applyProtection="1">
      <protection hidden="1"/>
    </xf>
    <xf numFmtId="0" fontId="0" fillId="0" borderId="65" xfId="0" applyBorder="1" applyProtection="1">
      <protection hidden="1"/>
    </xf>
    <xf numFmtId="0" fontId="0" fillId="8" borderId="65" xfId="0" applyFill="1" applyBorder="1" applyAlignment="1" applyProtection="1">
      <alignment horizontal="center" vertical="center"/>
      <protection hidden="1"/>
    </xf>
    <xf numFmtId="0" fontId="11" fillId="0" borderId="0" xfId="0" applyFont="1" applyProtection="1">
      <protection locked="0"/>
    </xf>
    <xf numFmtId="0" fontId="10" fillId="0" borderId="0" xfId="0" applyFont="1" applyAlignment="1" applyProtection="1">
      <alignment horizontal="left" vertical="top"/>
      <protection locked="0"/>
    </xf>
    <xf numFmtId="0" fontId="45" fillId="0" borderId="0" xfId="2" applyFont="1" applyAlignment="1" applyProtection="1">
      <alignment horizontal="left" vertical="top"/>
      <protection locked="0"/>
    </xf>
    <xf numFmtId="164" fontId="10" fillId="0" borderId="0" xfId="0" applyNumberFormat="1" applyFont="1" applyAlignment="1" applyProtection="1">
      <alignment horizontal="left" vertical="top"/>
      <protection locked="0"/>
    </xf>
    <xf numFmtId="0" fontId="10" fillId="0" borderId="0" xfId="2" applyFont="1" applyAlignment="1" applyProtection="1">
      <alignment horizontal="left" vertical="top"/>
      <protection locked="0"/>
    </xf>
    <xf numFmtId="0" fontId="26" fillId="20" borderId="0" xfId="0" applyFont="1" applyFill="1" applyProtection="1">
      <protection locked="0"/>
    </xf>
    <xf numFmtId="0" fontId="10" fillId="0" borderId="0" xfId="0" applyFont="1" applyProtection="1">
      <protection locked="0"/>
    </xf>
    <xf numFmtId="164" fontId="10" fillId="0" borderId="0" xfId="0" applyNumberFormat="1" applyFont="1" applyAlignment="1" applyProtection="1">
      <alignment vertical="top"/>
      <protection locked="0"/>
    </xf>
    <xf numFmtId="0" fontId="12" fillId="8" borderId="42" xfId="0" applyFont="1" applyFill="1" applyBorder="1" applyProtection="1">
      <protection locked="0"/>
    </xf>
    <xf numFmtId="0" fontId="12" fillId="8" borderId="71" xfId="0" applyFont="1" applyFill="1" applyBorder="1" applyProtection="1">
      <protection locked="0"/>
    </xf>
    <xf numFmtId="0" fontId="12" fillId="8" borderId="71" xfId="0" applyFont="1" applyFill="1" applyBorder="1" applyAlignment="1" applyProtection="1">
      <alignment horizontal="center" wrapText="1"/>
      <protection locked="0"/>
    </xf>
    <xf numFmtId="0" fontId="13" fillId="8" borderId="42" xfId="0" applyFont="1" applyFill="1" applyBorder="1" applyAlignment="1" applyProtection="1">
      <alignment horizontal="left" vertical="center"/>
      <protection locked="0"/>
    </xf>
    <xf numFmtId="0" fontId="15" fillId="8" borderId="71" xfId="0" applyFont="1" applyFill="1" applyBorder="1" applyAlignment="1" applyProtection="1">
      <alignment vertical="center"/>
      <protection locked="0"/>
    </xf>
    <xf numFmtId="0" fontId="9" fillId="20" borderId="18" xfId="0" applyFont="1" applyFill="1" applyBorder="1" applyAlignment="1" applyProtection="1">
      <alignment horizontal="center" textRotation="90"/>
      <protection locked="0"/>
    </xf>
    <xf numFmtId="0" fontId="9" fillId="15" borderId="39" xfId="0" applyFont="1" applyFill="1" applyBorder="1" applyProtection="1">
      <protection locked="0"/>
    </xf>
    <xf numFmtId="0" fontId="9" fillId="0" borderId="5" xfId="0" applyFont="1" applyBorder="1" applyAlignment="1" applyProtection="1">
      <alignment vertical="top"/>
      <protection locked="0"/>
    </xf>
    <xf numFmtId="0" fontId="9" fillId="0" borderId="5" xfId="0" applyFont="1" applyBorder="1" applyAlignment="1" applyProtection="1">
      <alignment horizontal="center" vertical="center"/>
      <protection locked="0"/>
    </xf>
    <xf numFmtId="0" fontId="9" fillId="15" borderId="2" xfId="0" applyFont="1" applyFill="1" applyBorder="1" applyProtection="1">
      <protection locked="0"/>
    </xf>
    <xf numFmtId="0" fontId="9" fillId="0" borderId="1" xfId="0" applyFont="1" applyBorder="1" applyAlignment="1" applyProtection="1">
      <alignment vertical="top"/>
      <protection locked="0"/>
    </xf>
    <xf numFmtId="0" fontId="9" fillId="0" borderId="1" xfId="0" applyFont="1" applyBorder="1" applyAlignment="1" applyProtection="1">
      <alignment horizontal="center" vertical="center"/>
      <protection locked="0"/>
    </xf>
    <xf numFmtId="0" fontId="9" fillId="19" borderId="1" xfId="0" applyFont="1" applyFill="1" applyBorder="1" applyAlignment="1" applyProtection="1">
      <alignment horizontal="center" vertical="center"/>
      <protection locked="0"/>
    </xf>
    <xf numFmtId="0" fontId="9" fillId="0" borderId="2" xfId="0" applyFont="1" applyBorder="1" applyProtection="1">
      <protection locked="0"/>
    </xf>
    <xf numFmtId="0" fontId="50" fillId="0" borderId="1" xfId="0" applyFont="1" applyBorder="1" applyAlignment="1" applyProtection="1">
      <alignment vertical="top"/>
      <protection locked="0"/>
    </xf>
    <xf numFmtId="0" fontId="44" fillId="0" borderId="1" xfId="0" applyFont="1" applyBorder="1" applyAlignment="1" applyProtection="1">
      <alignment vertical="top"/>
      <protection locked="0"/>
    </xf>
    <xf numFmtId="0" fontId="9" fillId="0" borderId="59" xfId="0" applyFont="1" applyBorder="1" applyProtection="1">
      <protection locked="0"/>
    </xf>
    <xf numFmtId="0" fontId="9" fillId="0" borderId="8" xfId="0" applyFont="1" applyBorder="1" applyAlignment="1" applyProtection="1">
      <alignment vertical="top"/>
      <protection locked="0"/>
    </xf>
    <xf numFmtId="0" fontId="9" fillId="0" borderId="8" xfId="0" applyFont="1" applyBorder="1" applyAlignment="1" applyProtection="1">
      <alignment horizontal="center" vertical="center"/>
      <protection locked="0"/>
    </xf>
    <xf numFmtId="0" fontId="15" fillId="8" borderId="42" xfId="0" applyFont="1" applyFill="1" applyBorder="1" applyAlignment="1" applyProtection="1">
      <alignment horizontal="left" vertical="center"/>
      <protection locked="0"/>
    </xf>
    <xf numFmtId="0" fontId="9" fillId="0" borderId="39" xfId="0" applyFont="1" applyBorder="1" applyAlignment="1" applyProtection="1">
      <alignment vertical="top"/>
      <protection locked="0"/>
    </xf>
    <xf numFmtId="0" fontId="9" fillId="0" borderId="2" xfId="0" applyFont="1" applyBorder="1" applyAlignment="1" applyProtection="1">
      <alignment vertical="top"/>
      <protection locked="0"/>
    </xf>
    <xf numFmtId="0" fontId="9" fillId="15" borderId="59" xfId="0" applyFont="1" applyFill="1" applyBorder="1" applyAlignment="1" applyProtection="1">
      <alignment vertical="top"/>
      <protection locked="0"/>
    </xf>
    <xf numFmtId="0" fontId="9" fillId="0" borderId="59" xfId="0" applyFont="1" applyBorder="1" applyAlignment="1" applyProtection="1">
      <alignment vertical="top"/>
      <protection locked="0"/>
    </xf>
    <xf numFmtId="0" fontId="9" fillId="15" borderId="39" xfId="0" applyFont="1" applyFill="1" applyBorder="1" applyAlignment="1" applyProtection="1">
      <alignment vertical="top"/>
      <protection locked="0"/>
    </xf>
    <xf numFmtId="0" fontId="9" fillId="15" borderId="2" xfId="0" applyFont="1" applyFill="1" applyBorder="1" applyAlignment="1" applyProtection="1">
      <alignment vertical="top"/>
      <protection locked="0"/>
    </xf>
    <xf numFmtId="0" fontId="15" fillId="8" borderId="71" xfId="0" applyFont="1" applyFill="1" applyBorder="1" applyAlignment="1" applyProtection="1">
      <alignment horizontal="left" vertical="center"/>
      <protection locked="0"/>
    </xf>
    <xf numFmtId="0" fontId="9" fillId="0" borderId="5" xfId="0" applyFont="1" applyBorder="1" applyAlignment="1" applyProtection="1">
      <alignment vertical="top" wrapText="1"/>
      <protection locked="0"/>
    </xf>
    <xf numFmtId="0" fontId="9" fillId="0" borderId="1" xfId="0" applyFont="1" applyBorder="1" applyAlignment="1" applyProtection="1">
      <alignment vertical="top" wrapText="1"/>
      <protection locked="0"/>
    </xf>
    <xf numFmtId="0" fontId="9" fillId="0" borderId="59" xfId="0" applyFont="1" applyBorder="1" applyAlignment="1" applyProtection="1">
      <alignment vertical="top" wrapText="1"/>
      <protection locked="0"/>
    </xf>
    <xf numFmtId="0" fontId="9" fillId="0" borderId="8" xfId="0" applyFont="1" applyBorder="1" applyAlignment="1" applyProtection="1">
      <alignment vertical="top" wrapText="1"/>
      <protection locked="0"/>
    </xf>
    <xf numFmtId="0" fontId="9" fillId="0" borderId="8" xfId="0" applyFont="1" applyBorder="1" applyAlignment="1" applyProtection="1">
      <alignment horizontal="center" vertical="center" wrapText="1"/>
      <protection locked="0"/>
    </xf>
    <xf numFmtId="0" fontId="9" fillId="19" borderId="8" xfId="0" applyFont="1" applyFill="1" applyBorder="1" applyAlignment="1" applyProtection="1">
      <alignment horizontal="center" vertical="center"/>
      <protection locked="0"/>
    </xf>
    <xf numFmtId="0" fontId="9" fillId="0" borderId="28" xfId="0" applyFont="1" applyBorder="1" applyAlignment="1" applyProtection="1">
      <alignment vertical="top"/>
      <protection locked="0"/>
    </xf>
    <xf numFmtId="0" fontId="9" fillId="0" borderId="3" xfId="0" applyFont="1" applyBorder="1" applyAlignment="1" applyProtection="1">
      <alignment vertical="top"/>
      <protection locked="0"/>
    </xf>
    <xf numFmtId="0" fontId="9" fillId="0" borderId="3" xfId="0" applyFont="1" applyBorder="1" applyAlignment="1" applyProtection="1">
      <alignment horizontal="center" vertical="center"/>
      <protection locked="0"/>
    </xf>
    <xf numFmtId="0" fontId="9" fillId="0" borderId="0" xfId="0" applyFont="1" applyAlignment="1" applyProtection="1">
      <alignment vertical="top"/>
      <protection locked="0"/>
    </xf>
    <xf numFmtId="0" fontId="16" fillId="0" borderId="0" xfId="0" applyFont="1" applyAlignment="1" applyProtection="1">
      <alignment vertical="top"/>
      <protection locked="0"/>
    </xf>
    <xf numFmtId="0" fontId="11" fillId="0" borderId="0" xfId="0" applyFont="1" applyAlignment="1" applyProtection="1">
      <alignment wrapText="1"/>
      <protection locked="0"/>
    </xf>
    <xf numFmtId="0" fontId="10" fillId="0" borderId="0" xfId="0" applyFont="1" applyAlignment="1" applyProtection="1">
      <alignment wrapText="1"/>
      <protection locked="0"/>
    </xf>
    <xf numFmtId="0" fontId="10" fillId="0" borderId="0" xfId="0" applyFont="1" applyAlignment="1" applyProtection="1">
      <alignment horizontal="left" vertical="top" wrapText="1"/>
      <protection locked="0"/>
    </xf>
    <xf numFmtId="167" fontId="10" fillId="0" borderId="0" xfId="0" applyNumberFormat="1" applyFont="1" applyAlignment="1" applyProtection="1">
      <alignment horizontal="left" vertical="top" wrapText="1"/>
      <protection locked="0"/>
    </xf>
    <xf numFmtId="0" fontId="0" fillId="0" borderId="0" xfId="0" applyProtection="1">
      <protection locked="0"/>
    </xf>
    <xf numFmtId="167" fontId="10" fillId="0" borderId="0" xfId="0" applyNumberFormat="1" applyFont="1" applyAlignment="1" applyProtection="1">
      <alignment wrapText="1"/>
      <protection locked="0"/>
    </xf>
    <xf numFmtId="0" fontId="12" fillId="8" borderId="26" xfId="0" applyFont="1" applyFill="1" applyBorder="1" applyAlignment="1" applyProtection="1">
      <alignment horizontal="center" wrapText="1"/>
      <protection locked="0"/>
    </xf>
    <xf numFmtId="0" fontId="12" fillId="0" borderId="0" xfId="0" applyFont="1" applyAlignment="1" applyProtection="1">
      <alignment horizontal="center" wrapText="1"/>
      <protection locked="0"/>
    </xf>
    <xf numFmtId="0" fontId="16" fillId="8" borderId="71" xfId="0" applyFont="1" applyFill="1" applyBorder="1" applyAlignment="1" applyProtection="1">
      <alignment horizontal="center" vertical="center" wrapText="1"/>
      <protection locked="0"/>
    </xf>
    <xf numFmtId="0" fontId="16" fillId="8" borderId="23" xfId="0" applyFont="1" applyFill="1" applyBorder="1" applyAlignment="1" applyProtection="1">
      <alignment horizontal="center" vertical="center" wrapText="1"/>
      <protection locked="0"/>
    </xf>
    <xf numFmtId="0" fontId="44" fillId="0" borderId="0" xfId="0" applyFont="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44" fontId="9" fillId="0" borderId="40" xfId="1" applyFont="1" applyFill="1" applyBorder="1" applyAlignment="1" applyProtection="1">
      <alignment horizontal="center" vertical="center" wrapText="1"/>
      <protection locked="0"/>
    </xf>
    <xf numFmtId="167" fontId="9" fillId="0" borderId="0" xfId="0" applyNumberFormat="1" applyFont="1" applyAlignment="1" applyProtection="1">
      <alignment vertical="top" wrapText="1"/>
      <protection locked="0"/>
    </xf>
    <xf numFmtId="0" fontId="9" fillId="0" borderId="0" xfId="0" applyFont="1" applyAlignment="1" applyProtection="1">
      <alignment vertical="top" wrapText="1"/>
      <protection locked="0"/>
    </xf>
    <xf numFmtId="0" fontId="9" fillId="0" borderId="0" xfId="0" applyFont="1" applyAlignment="1" applyProtection="1">
      <alignment wrapText="1"/>
      <protection locked="0"/>
    </xf>
    <xf numFmtId="0" fontId="9" fillId="0" borderId="1" xfId="0" applyFont="1" applyBorder="1" applyAlignment="1" applyProtection="1">
      <alignment horizontal="center" vertical="center" wrapText="1"/>
      <protection locked="0"/>
    </xf>
    <xf numFmtId="44" fontId="9" fillId="0" borderId="27" xfId="1" applyFont="1" applyFill="1" applyBorder="1" applyAlignment="1" applyProtection="1">
      <alignment horizontal="center" vertical="center" wrapText="1"/>
      <protection locked="0"/>
    </xf>
    <xf numFmtId="168" fontId="9" fillId="0" borderId="0" xfId="0" applyNumberFormat="1" applyFont="1" applyAlignment="1" applyProtection="1">
      <alignment vertical="top" wrapText="1"/>
      <protection locked="0"/>
    </xf>
    <xf numFmtId="44" fontId="44" fillId="0" borderId="0" xfId="1" applyFont="1" applyFill="1" applyBorder="1" applyAlignment="1" applyProtection="1">
      <alignment vertical="top" wrapText="1"/>
      <protection locked="0"/>
    </xf>
    <xf numFmtId="44" fontId="9" fillId="0" borderId="60" xfId="1" applyFont="1" applyFill="1" applyBorder="1" applyAlignment="1" applyProtection="1">
      <alignment horizontal="center" vertical="center" wrapText="1"/>
      <protection locked="0"/>
    </xf>
    <xf numFmtId="44" fontId="16" fillId="8" borderId="43" xfId="0" applyNumberFormat="1" applyFont="1" applyFill="1" applyBorder="1" applyAlignment="1" applyProtection="1">
      <alignment horizontal="center" vertical="center" wrapText="1"/>
      <protection locked="0"/>
    </xf>
    <xf numFmtId="167" fontId="16" fillId="0" borderId="0" xfId="0" applyNumberFormat="1" applyFont="1" applyAlignment="1" applyProtection="1">
      <alignment vertical="top" wrapText="1"/>
      <protection locked="0"/>
    </xf>
    <xf numFmtId="44" fontId="9" fillId="0" borderId="40" xfId="0" applyNumberFormat="1" applyFont="1" applyBorder="1" applyAlignment="1" applyProtection="1">
      <alignment horizontal="center" vertical="center" wrapText="1"/>
      <protection locked="0"/>
    </xf>
    <xf numFmtId="44" fontId="9" fillId="0" borderId="27" xfId="0" applyNumberFormat="1" applyFont="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44" fontId="9" fillId="3" borderId="8" xfId="0" applyNumberFormat="1" applyFont="1" applyFill="1" applyBorder="1" applyAlignment="1" applyProtection="1">
      <alignment horizontal="center" vertical="center" wrapText="1"/>
      <protection locked="0"/>
    </xf>
    <xf numFmtId="44" fontId="9" fillId="0" borderId="60" xfId="0" applyNumberFormat="1" applyFont="1" applyBorder="1" applyAlignment="1" applyProtection="1">
      <alignment horizontal="center" vertical="center" wrapText="1"/>
      <protection locked="0"/>
    </xf>
    <xf numFmtId="44" fontId="9" fillId="3" borderId="5" xfId="0" applyNumberFormat="1" applyFont="1" applyFill="1" applyBorder="1" applyAlignment="1" applyProtection="1">
      <alignment horizontal="center" vertical="center" wrapText="1"/>
      <protection locked="0"/>
    </xf>
    <xf numFmtId="44" fontId="9" fillId="3" borderId="1" xfId="0" applyNumberFormat="1" applyFont="1" applyFill="1" applyBorder="1" applyAlignment="1" applyProtection="1">
      <alignment horizontal="center" vertical="center" wrapText="1"/>
      <protection locked="0"/>
    </xf>
    <xf numFmtId="0" fontId="50"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protection locked="0"/>
    </xf>
    <xf numFmtId="44" fontId="9" fillId="0" borderId="5" xfId="1" applyFont="1" applyBorder="1" applyAlignment="1" applyProtection="1">
      <alignment vertical="top" wrapText="1"/>
      <protection locked="0"/>
    </xf>
    <xf numFmtId="44" fontId="9" fillId="0" borderId="3" xfId="1" applyFont="1" applyBorder="1" applyAlignment="1" applyProtection="1">
      <alignment vertical="top" wrapText="1"/>
      <protection locked="0"/>
    </xf>
    <xf numFmtId="44" fontId="9" fillId="0" borderId="29" xfId="0" applyNumberFormat="1" applyFont="1" applyBorder="1" applyAlignment="1" applyProtection="1">
      <alignment horizontal="center" vertical="center" wrapText="1"/>
      <protection locked="0"/>
    </xf>
    <xf numFmtId="44" fontId="9" fillId="0" borderId="0" xfId="1" applyFont="1" applyFill="1" applyBorder="1" applyAlignment="1" applyProtection="1">
      <alignment vertical="top" wrapText="1"/>
      <protection locked="0"/>
    </xf>
    <xf numFmtId="44" fontId="9" fillId="0" borderId="0" xfId="1" applyFont="1" applyAlignment="1" applyProtection="1">
      <alignment vertical="top" wrapText="1"/>
      <protection locked="0"/>
    </xf>
    <xf numFmtId="167" fontId="9" fillId="0" borderId="0" xfId="1" applyNumberFormat="1" applyFont="1" applyAlignment="1" applyProtection="1">
      <alignment vertical="top" wrapText="1"/>
      <protection locked="0"/>
    </xf>
    <xf numFmtId="165" fontId="51" fillId="0" borderId="22" xfId="0" applyNumberFormat="1" applyFont="1" applyBorder="1" applyProtection="1">
      <protection locked="0"/>
    </xf>
    <xf numFmtId="0" fontId="9" fillId="0" borderId="5" xfId="0" applyFont="1" applyBorder="1" applyAlignment="1" applyProtection="1">
      <alignment horizontal="center" vertical="center" wrapText="1"/>
      <protection hidden="1"/>
    </xf>
    <xf numFmtId="0" fontId="9" fillId="0" borderId="1" xfId="0" applyFont="1" applyBorder="1" applyAlignment="1" applyProtection="1">
      <alignment horizontal="center" vertical="center" wrapText="1"/>
      <protection hidden="1"/>
    </xf>
    <xf numFmtId="0" fontId="9" fillId="0" borderId="8" xfId="0" applyFont="1" applyBorder="1" applyAlignment="1" applyProtection="1">
      <alignment horizontal="center" vertical="center" wrapText="1"/>
      <protection hidden="1"/>
    </xf>
    <xf numFmtId="0" fontId="50" fillId="0" borderId="1" xfId="0" applyFont="1" applyBorder="1" applyAlignment="1" applyProtection="1">
      <alignment horizontal="center" vertical="center" wrapText="1"/>
      <protection hidden="1"/>
    </xf>
    <xf numFmtId="44" fontId="9" fillId="0" borderId="5" xfId="1" applyFont="1" applyBorder="1" applyAlignment="1" applyProtection="1">
      <alignment vertical="top" wrapText="1"/>
      <protection hidden="1"/>
    </xf>
    <xf numFmtId="44" fontId="9" fillId="0" borderId="3" xfId="1" applyFont="1" applyBorder="1" applyAlignment="1" applyProtection="1">
      <alignment vertical="top" wrapText="1"/>
      <protection hidden="1"/>
    </xf>
    <xf numFmtId="44" fontId="9" fillId="0" borderId="5" xfId="0" applyNumberFormat="1" applyFont="1" applyBorder="1" applyAlignment="1" applyProtection="1">
      <alignment horizontal="center" vertical="center" wrapText="1"/>
      <protection hidden="1"/>
    </xf>
    <xf numFmtId="0" fontId="16" fillId="8" borderId="71" xfId="0" applyFont="1" applyFill="1" applyBorder="1" applyAlignment="1" applyProtection="1">
      <alignment horizontal="center" vertical="center" wrapText="1"/>
      <protection hidden="1"/>
    </xf>
    <xf numFmtId="167" fontId="9" fillId="0" borderId="0" xfId="1" applyNumberFormat="1" applyFont="1" applyAlignment="1" applyProtection="1">
      <alignment vertical="top" wrapText="1"/>
      <protection hidden="1"/>
    </xf>
    <xf numFmtId="44" fontId="9" fillId="0" borderId="1" xfId="0" applyNumberFormat="1" applyFont="1" applyBorder="1" applyAlignment="1" applyProtection="1">
      <alignment horizontal="center" vertical="center" wrapText="1"/>
      <protection hidden="1"/>
    </xf>
    <xf numFmtId="0" fontId="10" fillId="0" borderId="0" xfId="0" applyFont="1" applyAlignment="1" applyProtection="1">
      <alignment horizontal="left" vertical="top" wrapText="1"/>
      <protection hidden="1"/>
    </xf>
    <xf numFmtId="167" fontId="10" fillId="0" borderId="0" xfId="0" applyNumberFormat="1" applyFont="1" applyAlignment="1" applyProtection="1">
      <alignment horizontal="left" vertical="top" wrapText="1"/>
      <protection hidden="1"/>
    </xf>
    <xf numFmtId="44" fontId="16" fillId="8" borderId="71" xfId="0" applyNumberFormat="1" applyFont="1" applyFill="1" applyBorder="1" applyAlignment="1" applyProtection="1">
      <alignment horizontal="center" vertical="center" wrapText="1"/>
      <protection hidden="1"/>
    </xf>
    <xf numFmtId="44" fontId="9" fillId="0" borderId="5" xfId="1" applyFont="1" applyFill="1" applyBorder="1" applyAlignment="1" applyProtection="1">
      <alignment horizontal="center" vertical="center" wrapText="1"/>
      <protection hidden="1"/>
    </xf>
    <xf numFmtId="0" fontId="9" fillId="3" borderId="8" xfId="0" applyFont="1" applyFill="1" applyBorder="1" applyAlignment="1" applyProtection="1">
      <alignment horizontal="center" vertical="center" wrapText="1"/>
      <protection hidden="1"/>
    </xf>
    <xf numFmtId="44" fontId="9" fillId="3" borderId="8" xfId="0" applyNumberFormat="1" applyFont="1" applyFill="1" applyBorder="1" applyAlignment="1" applyProtection="1">
      <alignment horizontal="center" vertical="center" wrapText="1"/>
      <protection hidden="1"/>
    </xf>
    <xf numFmtId="44" fontId="9" fillId="0" borderId="8" xfId="0" applyNumberFormat="1" applyFont="1" applyBorder="1" applyAlignment="1" applyProtection="1">
      <alignment horizontal="center" vertical="center" wrapText="1"/>
      <protection hidden="1"/>
    </xf>
    <xf numFmtId="44" fontId="9" fillId="3" borderId="5" xfId="0" applyNumberFormat="1" applyFont="1" applyFill="1" applyBorder="1" applyAlignment="1" applyProtection="1">
      <alignment horizontal="center" vertical="center" wrapText="1"/>
      <protection hidden="1"/>
    </xf>
    <xf numFmtId="44" fontId="9" fillId="3" borderId="1" xfId="0" applyNumberFormat="1" applyFont="1" applyFill="1" applyBorder="1" applyAlignment="1" applyProtection="1">
      <alignment horizontal="center" vertical="center" wrapText="1"/>
      <protection hidden="1"/>
    </xf>
    <xf numFmtId="164" fontId="10" fillId="0" borderId="0" xfId="0" applyNumberFormat="1" applyFont="1" applyAlignment="1" applyProtection="1">
      <alignment horizontal="left" vertical="top" wrapText="1"/>
      <protection locked="0"/>
    </xf>
    <xf numFmtId="0" fontId="26" fillId="3" borderId="0" xfId="0" applyFont="1" applyFill="1" applyAlignment="1" applyProtection="1">
      <alignment wrapText="1"/>
      <protection locked="0"/>
    </xf>
    <xf numFmtId="164" fontId="10" fillId="0" borderId="0" xfId="0" applyNumberFormat="1" applyFont="1" applyAlignment="1" applyProtection="1">
      <alignment vertical="top" wrapText="1"/>
      <protection locked="0"/>
    </xf>
    <xf numFmtId="0" fontId="12" fillId="8" borderId="42" xfId="0" applyFont="1" applyFill="1" applyBorder="1" applyAlignment="1" applyProtection="1">
      <alignment wrapText="1"/>
      <protection locked="0"/>
    </xf>
    <xf numFmtId="0" fontId="12" fillId="8" borderId="71" xfId="0" applyFont="1" applyFill="1" applyBorder="1" applyAlignment="1" applyProtection="1">
      <alignment wrapText="1"/>
      <protection locked="0"/>
    </xf>
    <xf numFmtId="0" fontId="13" fillId="8" borderId="42" xfId="0" applyFont="1" applyFill="1" applyBorder="1" applyAlignment="1" applyProtection="1">
      <alignment horizontal="left" vertical="center" wrapText="1"/>
      <protection locked="0"/>
    </xf>
    <xf numFmtId="0" fontId="9" fillId="20" borderId="18" xfId="0" applyFont="1" applyFill="1" applyBorder="1" applyAlignment="1" applyProtection="1">
      <alignment horizontal="center" textRotation="90" wrapText="1"/>
      <protection locked="0"/>
    </xf>
    <xf numFmtId="0" fontId="9" fillId="3" borderId="71" xfId="0" applyFont="1" applyFill="1" applyBorder="1" applyAlignment="1" applyProtection="1">
      <alignment horizontal="center" textRotation="90" wrapText="1"/>
      <protection locked="0"/>
    </xf>
    <xf numFmtId="0" fontId="9" fillId="4" borderId="71" xfId="0" applyFont="1" applyFill="1" applyBorder="1" applyAlignment="1" applyProtection="1">
      <alignment horizontal="center" textRotation="90" wrapText="1"/>
      <protection locked="0"/>
    </xf>
    <xf numFmtId="0" fontId="16" fillId="5" borderId="71" xfId="0" applyFont="1" applyFill="1" applyBorder="1" applyAlignment="1" applyProtection="1">
      <alignment horizontal="center" textRotation="90" wrapText="1"/>
      <protection locked="0"/>
    </xf>
    <xf numFmtId="0" fontId="9" fillId="15" borderId="39" xfId="0" applyFont="1" applyFill="1" applyBorder="1" applyAlignment="1" applyProtection="1">
      <alignment wrapText="1"/>
      <protection locked="0"/>
    </xf>
    <xf numFmtId="0" fontId="9" fillId="15" borderId="2" xfId="0" applyFont="1" applyFill="1" applyBorder="1" applyAlignment="1" applyProtection="1">
      <alignment wrapText="1"/>
      <protection locked="0"/>
    </xf>
    <xf numFmtId="0" fontId="9" fillId="19" borderId="1" xfId="0" applyFont="1" applyFill="1" applyBorder="1" applyAlignment="1" applyProtection="1">
      <alignment horizontal="center" vertical="center" wrapText="1"/>
      <protection locked="0"/>
    </xf>
    <xf numFmtId="0" fontId="9" fillId="0" borderId="2" xfId="0" applyFont="1" applyBorder="1" applyAlignment="1" applyProtection="1">
      <alignment wrapText="1"/>
      <protection locked="0"/>
    </xf>
    <xf numFmtId="0" fontId="50" fillId="0" borderId="1" xfId="0" applyFont="1" applyBorder="1" applyAlignment="1" applyProtection="1">
      <alignment vertical="top" wrapText="1"/>
      <protection locked="0"/>
    </xf>
    <xf numFmtId="0" fontId="44" fillId="0" borderId="1" xfId="0" applyFont="1" applyBorder="1" applyAlignment="1" applyProtection="1">
      <alignment vertical="top" wrapText="1"/>
      <protection locked="0"/>
    </xf>
    <xf numFmtId="0" fontId="9" fillId="0" borderId="59" xfId="0" applyFont="1" applyBorder="1" applyAlignment="1" applyProtection="1">
      <alignment wrapText="1"/>
      <protection locked="0"/>
    </xf>
    <xf numFmtId="0" fontId="15" fillId="8" borderId="42" xfId="0" applyFont="1" applyFill="1" applyBorder="1" applyAlignment="1" applyProtection="1">
      <alignment horizontal="left" vertical="center" wrapText="1"/>
      <protection locked="0"/>
    </xf>
    <xf numFmtId="0" fontId="9" fillId="0" borderId="39" xfId="0" applyFont="1" applyBorder="1" applyAlignment="1" applyProtection="1">
      <alignment vertical="top" wrapText="1"/>
      <protection locked="0"/>
    </xf>
    <xf numFmtId="0" fontId="9" fillId="16" borderId="5" xfId="0" applyFont="1" applyFill="1" applyBorder="1" applyAlignment="1" applyProtection="1">
      <alignment horizontal="center" vertical="center" wrapText="1"/>
      <protection locked="0"/>
    </xf>
    <xf numFmtId="0" fontId="9" fillId="0" borderId="2" xfId="0" applyFont="1" applyBorder="1" applyAlignment="1" applyProtection="1">
      <alignment vertical="top" wrapText="1"/>
      <protection locked="0"/>
    </xf>
    <xf numFmtId="0" fontId="9" fillId="16" borderId="1" xfId="0" applyFont="1" applyFill="1" applyBorder="1" applyAlignment="1" applyProtection="1">
      <alignment horizontal="center" vertical="center" wrapText="1"/>
      <protection locked="0"/>
    </xf>
    <xf numFmtId="0" fontId="9" fillId="15" borderId="59" xfId="0" applyFont="1" applyFill="1" applyBorder="1" applyAlignment="1" applyProtection="1">
      <alignment vertical="top" wrapText="1"/>
      <protection locked="0"/>
    </xf>
    <xf numFmtId="0" fontId="9" fillId="19" borderId="8" xfId="0" applyFont="1" applyFill="1" applyBorder="1" applyAlignment="1" applyProtection="1">
      <alignment horizontal="center" vertical="center" wrapText="1"/>
      <protection locked="0"/>
    </xf>
    <xf numFmtId="0" fontId="9" fillId="15" borderId="39" xfId="0" applyFont="1" applyFill="1" applyBorder="1" applyAlignment="1" applyProtection="1">
      <alignment vertical="top" wrapText="1"/>
      <protection locked="0"/>
    </xf>
    <xf numFmtId="0" fontId="9" fillId="15" borderId="2" xfId="0" applyFont="1" applyFill="1" applyBorder="1" applyAlignment="1" applyProtection="1">
      <alignment vertical="top" wrapText="1"/>
      <protection locked="0"/>
    </xf>
    <xf numFmtId="0" fontId="9" fillId="0" borderId="28" xfId="0" applyFont="1" applyBorder="1" applyAlignment="1" applyProtection="1">
      <alignment horizontal="left" vertical="top" wrapText="1"/>
      <protection locked="0"/>
    </xf>
    <xf numFmtId="0" fontId="9" fillId="0" borderId="3" xfId="0" applyFont="1" applyBorder="1" applyAlignment="1" applyProtection="1">
      <alignment horizontal="left" vertical="top" wrapText="1"/>
      <protection locked="0"/>
    </xf>
    <xf numFmtId="0" fontId="9" fillId="0" borderId="3" xfId="0" applyFont="1" applyBorder="1" applyAlignment="1" applyProtection="1">
      <alignment horizontal="center" vertical="center" wrapText="1"/>
      <protection locked="0"/>
    </xf>
    <xf numFmtId="44" fontId="9" fillId="0" borderId="3" xfId="1" applyFont="1" applyBorder="1" applyAlignment="1" applyProtection="1">
      <alignment horizontal="center" vertical="center" wrapText="1"/>
      <protection locked="0"/>
    </xf>
    <xf numFmtId="44" fontId="9" fillId="0" borderId="0" xfId="1" applyFont="1" applyFill="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16" fillId="0" borderId="0" xfId="0" applyFont="1" applyAlignment="1" applyProtection="1">
      <alignment vertical="top" wrapText="1"/>
      <protection locked="0"/>
    </xf>
    <xf numFmtId="44" fontId="9" fillId="0" borderId="60" xfId="0" applyNumberFormat="1" applyFont="1" applyBorder="1" applyAlignment="1" applyProtection="1">
      <alignment horizontal="center" vertical="center" wrapText="1"/>
      <protection hidden="1"/>
    </xf>
    <xf numFmtId="44" fontId="9" fillId="0" borderId="40" xfId="0" applyNumberFormat="1" applyFont="1" applyBorder="1" applyAlignment="1" applyProtection="1">
      <alignment horizontal="center" vertical="center" wrapText="1"/>
      <protection hidden="1"/>
    </xf>
    <xf numFmtId="44" fontId="9" fillId="0" borderId="27" xfId="0" applyNumberFormat="1" applyFont="1" applyBorder="1" applyAlignment="1" applyProtection="1">
      <alignment horizontal="center" vertical="center" wrapText="1"/>
      <protection hidden="1"/>
    </xf>
    <xf numFmtId="44" fontId="9" fillId="0" borderId="27" xfId="1" applyFont="1" applyFill="1" applyBorder="1" applyAlignment="1" applyProtection="1">
      <alignment horizontal="center" vertical="center" wrapText="1"/>
      <protection hidden="1"/>
    </xf>
    <xf numFmtId="44" fontId="9" fillId="0" borderId="60" xfId="1" applyFont="1" applyFill="1" applyBorder="1" applyAlignment="1" applyProtection="1">
      <alignment horizontal="center" vertical="center" wrapText="1"/>
      <protection hidden="1"/>
    </xf>
    <xf numFmtId="44" fontId="9" fillId="0" borderId="3" xfId="0" applyNumberFormat="1" applyFont="1" applyBorder="1" applyAlignment="1" applyProtection="1">
      <alignment horizontal="center" vertical="center" wrapText="1"/>
      <protection hidden="1"/>
    </xf>
    <xf numFmtId="44" fontId="9" fillId="0" borderId="1" xfId="1" applyFont="1" applyFill="1" applyBorder="1" applyAlignment="1" applyProtection="1">
      <alignment horizontal="center" vertical="center" wrapText="1"/>
      <protection hidden="1"/>
    </xf>
    <xf numFmtId="44" fontId="9" fillId="0" borderId="8" xfId="1" applyFont="1" applyFill="1" applyBorder="1" applyAlignment="1" applyProtection="1">
      <alignment horizontal="center" vertical="center" wrapText="1"/>
      <protection hidden="1"/>
    </xf>
    <xf numFmtId="44" fontId="9" fillId="0" borderId="5" xfId="1" applyFont="1" applyBorder="1" applyAlignment="1" applyProtection="1">
      <alignment horizontal="center" vertical="center" wrapText="1"/>
      <protection locked="0"/>
    </xf>
    <xf numFmtId="44" fontId="9" fillId="0" borderId="1" xfId="1" applyFont="1" applyBorder="1" applyAlignment="1" applyProtection="1">
      <alignment horizontal="center" vertical="center" wrapText="1"/>
      <protection hidden="1"/>
    </xf>
    <xf numFmtId="44" fontId="9" fillId="0" borderId="8" xfId="1" applyFont="1" applyBorder="1" applyAlignment="1" applyProtection="1">
      <alignment horizontal="center" vertical="center" wrapText="1"/>
      <protection hidden="1"/>
    </xf>
    <xf numFmtId="44" fontId="9" fillId="0" borderId="5" xfId="1" applyFont="1" applyBorder="1" applyAlignment="1" applyProtection="1">
      <alignment horizontal="center" vertical="center" wrapText="1"/>
      <protection hidden="1"/>
    </xf>
    <xf numFmtId="44" fontId="9" fillId="0" borderId="3" xfId="1" applyFont="1" applyBorder="1" applyAlignment="1" applyProtection="1">
      <alignment horizontal="center" vertical="center" wrapText="1"/>
      <protection hidden="1"/>
    </xf>
    <xf numFmtId="0" fontId="26" fillId="4" borderId="0" xfId="0" applyFont="1" applyFill="1" applyAlignment="1" applyProtection="1">
      <alignment wrapText="1"/>
      <protection locked="0"/>
    </xf>
    <xf numFmtId="0" fontId="9" fillId="0" borderId="28" xfId="0" applyFont="1" applyBorder="1" applyAlignment="1" applyProtection="1">
      <alignment vertical="top" wrapText="1"/>
      <protection locked="0"/>
    </xf>
    <xf numFmtId="0" fontId="9" fillId="0" borderId="3" xfId="0" applyFont="1" applyBorder="1" applyAlignment="1" applyProtection="1">
      <alignment vertical="top" wrapText="1"/>
      <protection locked="0"/>
    </xf>
    <xf numFmtId="44" fontId="50" fillId="0" borderId="1" xfId="1" applyFont="1" applyBorder="1" applyAlignment="1" applyProtection="1">
      <alignment horizontal="center" vertical="center" wrapText="1"/>
      <protection hidden="1"/>
    </xf>
    <xf numFmtId="0" fontId="26" fillId="5" borderId="0" xfId="0" applyFont="1" applyFill="1" applyAlignment="1" applyProtection="1">
      <alignment wrapText="1"/>
      <protection locked="0"/>
    </xf>
    <xf numFmtId="14" fontId="2" fillId="0" borderId="55" xfId="0" applyNumberFormat="1" applyFont="1" applyBorder="1" applyAlignment="1">
      <alignment horizontal="left" vertical="top"/>
    </xf>
    <xf numFmtId="0" fontId="2" fillId="0" borderId="55" xfId="0" applyFont="1" applyBorder="1" applyAlignment="1">
      <alignment horizontal="justify" vertical="top"/>
    </xf>
    <xf numFmtId="0" fontId="5" fillId="0" borderId="0" xfId="2" applyFont="1" applyAlignment="1">
      <alignment horizontal="left" vertical="center" wrapText="1"/>
    </xf>
    <xf numFmtId="0" fontId="21" fillId="0" borderId="0" xfId="2" applyAlignment="1">
      <alignment horizontal="left" vertical="top" wrapText="1"/>
    </xf>
    <xf numFmtId="0" fontId="53" fillId="0" borderId="0" xfId="2" applyFont="1" applyAlignment="1">
      <alignment horizontal="left" wrapText="1"/>
    </xf>
    <xf numFmtId="0" fontId="23" fillId="0" borderId="0" xfId="2" applyFont="1" applyAlignment="1">
      <alignment wrapText="1"/>
    </xf>
    <xf numFmtId="0" fontId="21" fillId="0" borderId="0" xfId="2" applyAlignment="1">
      <alignment wrapText="1"/>
    </xf>
    <xf numFmtId="0" fontId="24" fillId="7" borderId="31" xfId="2" applyFont="1" applyFill="1" applyBorder="1" applyAlignment="1" applyProtection="1">
      <alignment horizontal="left" wrapText="1"/>
      <protection locked="0"/>
    </xf>
    <xf numFmtId="0" fontId="21" fillId="7" borderId="24" xfId="2" applyFill="1" applyBorder="1" applyAlignment="1" applyProtection="1">
      <alignment wrapText="1"/>
      <protection locked="0"/>
    </xf>
    <xf numFmtId="0" fontId="6" fillId="0" borderId="0" xfId="2" applyFont="1" applyAlignment="1">
      <alignment horizontal="left" wrapText="1"/>
    </xf>
    <xf numFmtId="0" fontId="24" fillId="7" borderId="24" xfId="2" applyFont="1" applyFill="1" applyBorder="1" applyAlignment="1" applyProtection="1">
      <alignment horizontal="left" wrapText="1"/>
      <protection locked="0"/>
    </xf>
    <xf numFmtId="0" fontId="24" fillId="7" borderId="41" xfId="2" applyFont="1" applyFill="1" applyBorder="1" applyAlignment="1" applyProtection="1">
      <alignment horizontal="left" wrapText="1"/>
      <protection locked="0"/>
    </xf>
    <xf numFmtId="0" fontId="24" fillId="7" borderId="51" xfId="2" applyFont="1" applyFill="1" applyBorder="1" applyAlignment="1" applyProtection="1">
      <alignment horizontal="left" wrapText="1"/>
      <protection locked="0"/>
    </xf>
    <xf numFmtId="0" fontId="0" fillId="0" borderId="0" xfId="0"/>
    <xf numFmtId="0" fontId="26" fillId="8" borderId="17" xfId="0" applyFont="1" applyFill="1" applyBorder="1" applyAlignment="1" applyProtection="1">
      <alignment horizontal="left" vertical="center"/>
      <protection hidden="1"/>
    </xf>
    <xf numFmtId="0" fontId="26" fillId="8" borderId="18" xfId="0" applyFont="1" applyFill="1" applyBorder="1" applyAlignment="1" applyProtection="1">
      <alignment horizontal="left" vertical="center"/>
      <protection hidden="1"/>
    </xf>
    <xf numFmtId="0" fontId="12" fillId="8" borderId="52" xfId="0" applyFont="1" applyFill="1" applyBorder="1" applyAlignment="1" applyProtection="1">
      <alignment horizontal="center" wrapText="1"/>
      <protection hidden="1"/>
    </xf>
    <xf numFmtId="0" fontId="12" fillId="8" borderId="73" xfId="0" applyFont="1" applyFill="1" applyBorder="1" applyAlignment="1" applyProtection="1">
      <alignment horizontal="center" wrapText="1"/>
      <protection hidden="1"/>
    </xf>
    <xf numFmtId="0" fontId="12" fillId="8" borderId="71" xfId="0" applyFont="1" applyFill="1" applyBorder="1" applyAlignment="1" applyProtection="1">
      <alignment horizontal="center" wrapText="1"/>
      <protection locked="0"/>
    </xf>
    <xf numFmtId="0" fontId="12" fillId="8" borderId="71" xfId="0" applyFont="1" applyFill="1" applyBorder="1" applyAlignment="1" applyProtection="1">
      <alignment horizontal="center" wrapText="1"/>
      <protection hidden="1"/>
    </xf>
    <xf numFmtId="0" fontId="15" fillId="8" borderId="71" xfId="0" applyFont="1" applyFill="1" applyBorder="1" applyAlignment="1" applyProtection="1">
      <alignment horizontal="left" vertical="center" wrapText="1"/>
      <protection locked="0"/>
    </xf>
    <xf numFmtId="0" fontId="10" fillId="16" borderId="17" xfId="0" applyFont="1" applyFill="1" applyBorder="1" applyAlignment="1">
      <alignment horizontal="left" vertical="top" wrapText="1"/>
    </xf>
    <xf numFmtId="0" fontId="10" fillId="16" borderId="18" xfId="0" applyFont="1" applyFill="1" applyBorder="1" applyAlignment="1">
      <alignment horizontal="left" vertical="top" wrapText="1"/>
    </xf>
    <xf numFmtId="0" fontId="10" fillId="16" borderId="19" xfId="0" applyFont="1" applyFill="1" applyBorder="1" applyAlignment="1">
      <alignment horizontal="left" vertical="top" wrapText="1"/>
    </xf>
    <xf numFmtId="0" fontId="9" fillId="0" borderId="36" xfId="0" applyFont="1" applyBorder="1" applyAlignment="1">
      <alignment horizontal="left" vertical="top" wrapText="1"/>
    </xf>
    <xf numFmtId="0" fontId="9" fillId="0" borderId="45" xfId="0" applyFont="1" applyBorder="1" applyAlignment="1">
      <alignment horizontal="left" vertical="top" wrapText="1"/>
    </xf>
    <xf numFmtId="0" fontId="9" fillId="0" borderId="37" xfId="0" applyFont="1" applyBorder="1" applyAlignment="1">
      <alignment horizontal="left" vertical="top" wrapText="1"/>
    </xf>
    <xf numFmtId="0" fontId="9" fillId="0" borderId="33" xfId="0" applyFont="1" applyBorder="1" applyAlignment="1">
      <alignment horizontal="left" vertical="top" wrapText="1"/>
    </xf>
    <xf numFmtId="0" fontId="9" fillId="0" borderId="0" xfId="0" applyFont="1" applyAlignment="1">
      <alignment horizontal="left" vertical="top" wrapText="1"/>
    </xf>
    <xf numFmtId="0" fontId="15" fillId="8" borderId="71" xfId="0" applyFont="1" applyFill="1" applyBorder="1" applyAlignment="1">
      <alignment horizontal="left" vertical="center" wrapText="1"/>
    </xf>
    <xf numFmtId="0" fontId="12" fillId="8" borderId="71" xfId="0" applyFont="1" applyFill="1" applyBorder="1" applyAlignment="1">
      <alignment horizontal="center" wrapText="1"/>
    </xf>
    <xf numFmtId="0" fontId="9" fillId="0" borderId="35" xfId="0" applyFont="1" applyBorder="1" applyAlignment="1">
      <alignment horizontal="left" vertical="top" wrapText="1"/>
    </xf>
    <xf numFmtId="0" fontId="17" fillId="8" borderId="46" xfId="4" applyFont="1" applyFill="1" applyBorder="1" applyAlignment="1">
      <alignment horizontal="center"/>
    </xf>
    <xf numFmtId="0" fontId="1" fillId="12" borderId="31" xfId="4" applyFill="1" applyBorder="1" applyAlignment="1">
      <alignment horizontal="center"/>
    </xf>
    <xf numFmtId="0" fontId="1" fillId="12" borderId="9" xfId="4" applyFill="1" applyBorder="1" applyAlignment="1">
      <alignment horizontal="center"/>
    </xf>
    <xf numFmtId="0" fontId="34" fillId="9" borderId="31" xfId="4" applyFont="1" applyFill="1" applyBorder="1" applyAlignment="1">
      <alignment horizontal="center" vertical="center"/>
    </xf>
    <xf numFmtId="0" fontId="34" fillId="9" borderId="46" xfId="4" applyFont="1" applyFill="1" applyBorder="1" applyAlignment="1">
      <alignment horizontal="center" vertical="center"/>
    </xf>
    <xf numFmtId="0" fontId="34" fillId="9" borderId="9" xfId="4" applyFont="1" applyFill="1" applyBorder="1" applyAlignment="1">
      <alignment horizontal="center" vertical="center"/>
    </xf>
    <xf numFmtId="0" fontId="25" fillId="10" borderId="32" xfId="4" applyFont="1" applyFill="1" applyBorder="1" applyAlignment="1">
      <alignment horizontal="center" vertical="center" wrapText="1"/>
    </xf>
    <xf numFmtId="0" fontId="25" fillId="10" borderId="12" xfId="4" applyFont="1" applyFill="1" applyBorder="1" applyAlignment="1">
      <alignment horizontal="center" vertical="center" wrapText="1"/>
    </xf>
    <xf numFmtId="0" fontId="35" fillId="11" borderId="32" xfId="4" applyFont="1" applyFill="1" applyBorder="1" applyAlignment="1">
      <alignment horizontal="center" wrapText="1"/>
    </xf>
    <xf numFmtId="0" fontId="35" fillId="11" borderId="12" xfId="4" applyFont="1" applyFill="1" applyBorder="1" applyAlignment="1">
      <alignment horizontal="center" wrapText="1"/>
    </xf>
    <xf numFmtId="0" fontId="35" fillId="11" borderId="47" xfId="4" applyFont="1" applyFill="1" applyBorder="1" applyAlignment="1">
      <alignment horizontal="center" wrapText="1"/>
    </xf>
    <xf numFmtId="0" fontId="35" fillId="11" borderId="11" xfId="4" applyFont="1" applyFill="1" applyBorder="1" applyAlignment="1">
      <alignment horizontal="center" wrapText="1"/>
    </xf>
    <xf numFmtId="0" fontId="33" fillId="8" borderId="16" xfId="4" applyFont="1" applyFill="1" applyBorder="1" applyAlignment="1">
      <alignment horizontal="center" vertical="center" wrapText="1"/>
    </xf>
    <xf numFmtId="0" fontId="33" fillId="8" borderId="0" xfId="4" applyFont="1" applyFill="1" applyAlignment="1">
      <alignment horizontal="center" vertical="center" wrapText="1"/>
    </xf>
    <xf numFmtId="0" fontId="33" fillId="8" borderId="45" xfId="4" applyFont="1" applyFill="1" applyBorder="1" applyAlignment="1">
      <alignment horizontal="center" vertical="center" wrapText="1"/>
    </xf>
  </cellXfs>
  <cellStyles count="15">
    <cellStyle name="Euro" xfId="12" xr:uid="{00000000-0005-0000-0000-000000000000}"/>
    <cellStyle name="Hyperlink" xfId="14" builtinId="8"/>
    <cellStyle name="Komma 2 2" xfId="13" xr:uid="{00000000-0005-0000-0000-000002000000}"/>
    <cellStyle name="Normal 2" xfId="7" xr:uid="{00000000-0005-0000-0000-000003000000}"/>
    <cellStyle name="Normal 2 2" xfId="11" xr:uid="{00000000-0005-0000-0000-000004000000}"/>
    <cellStyle name="Procent 2" xfId="5" xr:uid="{00000000-0005-0000-0000-000005000000}"/>
    <cellStyle name="Procent 2 2" xfId="6" xr:uid="{00000000-0005-0000-0000-000006000000}"/>
    <cellStyle name="Procent 2 3" xfId="10" xr:uid="{00000000-0005-0000-0000-000007000000}"/>
    <cellStyle name="Standaard" xfId="0" builtinId="0"/>
    <cellStyle name="Standaard 2" xfId="2" xr:uid="{00000000-0005-0000-0000-000009000000}"/>
    <cellStyle name="Standaard 2 2" xfId="4" xr:uid="{00000000-0005-0000-0000-00000A000000}"/>
    <cellStyle name="Standaard 3" xfId="3" xr:uid="{00000000-0005-0000-0000-00000B000000}"/>
    <cellStyle name="Standaard 3 2" xfId="9" xr:uid="{00000000-0005-0000-0000-00000C000000}"/>
    <cellStyle name="Valuta" xfId="1" builtinId="4"/>
    <cellStyle name="Valuta 2" xfId="8" xr:uid="{00000000-0005-0000-0000-00000E000000}"/>
  </cellStyles>
  <dxfs count="161">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ont>
        <color rgb="FF006100"/>
      </font>
      <fill>
        <patternFill>
          <bgColor rgb="FFC6EFCE"/>
        </patternFill>
      </fill>
    </dxf>
    <dxf>
      <fill>
        <patternFill>
          <bgColor theme="7" tint="0.39994506668294322"/>
        </patternFill>
      </fill>
    </dxf>
    <dxf>
      <fill>
        <patternFill>
          <bgColor rgb="FFFF5050"/>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ill>
        <patternFill>
          <bgColor rgb="FFFF9966"/>
        </patternFill>
      </fill>
    </dxf>
    <dxf>
      <font>
        <color rgb="FF00B050"/>
      </font>
    </dxf>
  </dxfs>
  <tableStyles count="0" defaultTableStyle="TableStyleMedium2" defaultPivotStyle="PivotStyleLight16"/>
  <colors>
    <mruColors>
      <color rgb="FFFF66CC"/>
      <color rgb="FF00FF00"/>
      <color rgb="FFFF9900"/>
      <color rgb="FFFF9966"/>
      <color rgb="FFFF505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emf"/><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emf"/><Relationship Id="rId15" Type="http://schemas.openxmlformats.org/officeDocument/2006/relationships/image" Target="../media/image1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2</xdr:col>
      <xdr:colOff>104775</xdr:colOff>
      <xdr:row>5</xdr:row>
      <xdr:rowOff>152400</xdr:rowOff>
    </xdr:from>
    <xdr:to>
      <xdr:col>7</xdr:col>
      <xdr:colOff>558165</xdr:colOff>
      <xdr:row>13</xdr:row>
      <xdr:rowOff>23246</xdr:rowOff>
    </xdr:to>
    <xdr:pic>
      <xdr:nvPicPr>
        <xdr:cNvPr id="3" name="Afbeelding 2">
          <a:extLst>
            <a:ext uri="{FF2B5EF4-FFF2-40B4-BE49-F238E27FC236}">
              <a16:creationId xmlns:a16="http://schemas.microsoft.com/office/drawing/2014/main" id="{C3E114EB-1C89-B01F-EB90-5B4A6F948E8A}"/>
            </a:ext>
          </a:extLst>
        </xdr:cNvPr>
        <xdr:cNvPicPr>
          <a:picLocks noChangeAspect="1"/>
        </xdr:cNvPicPr>
      </xdr:nvPicPr>
      <xdr:blipFill>
        <a:blip xmlns:r="http://schemas.openxmlformats.org/officeDocument/2006/relationships" r:embed="rId1"/>
        <a:stretch>
          <a:fillRect/>
        </a:stretch>
      </xdr:blipFill>
      <xdr:spPr>
        <a:xfrm>
          <a:off x="6343650" y="1104900"/>
          <a:ext cx="3486150" cy="1384686"/>
        </a:xfrm>
        <a:prstGeom prst="rect">
          <a:avLst/>
        </a:prstGeom>
      </xdr:spPr>
    </xdr:pic>
    <xdr:clientData/>
  </xdr:twoCellAnchor>
  <xdr:twoCellAnchor editAs="oneCell">
    <xdr:from>
      <xdr:col>2</xdr:col>
      <xdr:colOff>28575</xdr:colOff>
      <xdr:row>16</xdr:row>
      <xdr:rowOff>19050</xdr:rowOff>
    </xdr:from>
    <xdr:to>
      <xdr:col>8</xdr:col>
      <xdr:colOff>609070</xdr:colOff>
      <xdr:row>19</xdr:row>
      <xdr:rowOff>136390</xdr:rowOff>
    </xdr:to>
    <xdr:pic>
      <xdr:nvPicPr>
        <xdr:cNvPr id="4" name="Afbeelding 3">
          <a:extLst>
            <a:ext uri="{FF2B5EF4-FFF2-40B4-BE49-F238E27FC236}">
              <a16:creationId xmlns:a16="http://schemas.microsoft.com/office/drawing/2014/main" id="{304F592F-7F45-B9E4-0002-0FA7CDEEC8D0}"/>
            </a:ext>
          </a:extLst>
        </xdr:cNvPr>
        <xdr:cNvPicPr>
          <a:picLocks noChangeAspect="1"/>
        </xdr:cNvPicPr>
      </xdr:nvPicPr>
      <xdr:blipFill>
        <a:blip xmlns:r="http://schemas.openxmlformats.org/officeDocument/2006/relationships" r:embed="rId2"/>
        <a:stretch>
          <a:fillRect/>
        </a:stretch>
      </xdr:blipFill>
      <xdr:spPr>
        <a:xfrm>
          <a:off x="6267450" y="3257550"/>
          <a:ext cx="4238095" cy="1076190"/>
        </a:xfrm>
        <a:prstGeom prst="rect">
          <a:avLst/>
        </a:prstGeom>
      </xdr:spPr>
    </xdr:pic>
    <xdr:clientData/>
  </xdr:twoCellAnchor>
  <xdr:twoCellAnchor editAs="oneCell">
    <xdr:from>
      <xdr:col>2</xdr:col>
      <xdr:colOff>19050</xdr:colOff>
      <xdr:row>21</xdr:row>
      <xdr:rowOff>9525</xdr:rowOff>
    </xdr:from>
    <xdr:to>
      <xdr:col>8</xdr:col>
      <xdr:colOff>596371</xdr:colOff>
      <xdr:row>26</xdr:row>
      <xdr:rowOff>105179</xdr:rowOff>
    </xdr:to>
    <xdr:pic>
      <xdr:nvPicPr>
        <xdr:cNvPr id="5" name="Afbeelding 4">
          <a:extLst>
            <a:ext uri="{FF2B5EF4-FFF2-40B4-BE49-F238E27FC236}">
              <a16:creationId xmlns:a16="http://schemas.microsoft.com/office/drawing/2014/main" id="{4086AD78-BB91-316E-7D5C-8591343C8FAE}"/>
            </a:ext>
          </a:extLst>
        </xdr:cNvPr>
        <xdr:cNvPicPr>
          <a:picLocks noChangeAspect="1"/>
        </xdr:cNvPicPr>
      </xdr:nvPicPr>
      <xdr:blipFill>
        <a:blip xmlns:r="http://schemas.openxmlformats.org/officeDocument/2006/relationships" r:embed="rId3"/>
        <a:stretch>
          <a:fillRect/>
        </a:stretch>
      </xdr:blipFill>
      <xdr:spPr>
        <a:xfrm>
          <a:off x="6257925" y="4581525"/>
          <a:ext cx="4228571" cy="1247619"/>
        </a:xfrm>
        <a:prstGeom prst="rect">
          <a:avLst/>
        </a:prstGeom>
      </xdr:spPr>
    </xdr:pic>
    <xdr:clientData/>
  </xdr:twoCellAnchor>
  <xdr:twoCellAnchor editAs="oneCell">
    <xdr:from>
      <xdr:col>2</xdr:col>
      <xdr:colOff>47625</xdr:colOff>
      <xdr:row>31</xdr:row>
      <xdr:rowOff>47625</xdr:rowOff>
    </xdr:from>
    <xdr:to>
      <xdr:col>17</xdr:col>
      <xdr:colOff>24261</xdr:colOff>
      <xdr:row>35</xdr:row>
      <xdr:rowOff>60040</xdr:rowOff>
    </xdr:to>
    <xdr:pic>
      <xdr:nvPicPr>
        <xdr:cNvPr id="6" name="Afbeelding 5">
          <a:extLst>
            <a:ext uri="{FF2B5EF4-FFF2-40B4-BE49-F238E27FC236}">
              <a16:creationId xmlns:a16="http://schemas.microsoft.com/office/drawing/2014/main" id="{86C40E3A-50D8-ECA2-0237-F88401B16F55}"/>
            </a:ext>
          </a:extLst>
        </xdr:cNvPr>
        <xdr:cNvPicPr>
          <a:picLocks noChangeAspect="1"/>
        </xdr:cNvPicPr>
      </xdr:nvPicPr>
      <xdr:blipFill>
        <a:blip xmlns:r="http://schemas.openxmlformats.org/officeDocument/2006/relationships" r:embed="rId4"/>
        <a:stretch>
          <a:fillRect/>
        </a:stretch>
      </xdr:blipFill>
      <xdr:spPr>
        <a:xfrm>
          <a:off x="6286500" y="6524625"/>
          <a:ext cx="9114286" cy="2285714"/>
        </a:xfrm>
        <a:prstGeom prst="rect">
          <a:avLst/>
        </a:prstGeom>
      </xdr:spPr>
    </xdr:pic>
    <xdr:clientData/>
  </xdr:twoCellAnchor>
  <xdr:twoCellAnchor editAs="oneCell">
    <xdr:from>
      <xdr:col>2</xdr:col>
      <xdr:colOff>114300</xdr:colOff>
      <xdr:row>36</xdr:row>
      <xdr:rowOff>200025</xdr:rowOff>
    </xdr:from>
    <xdr:to>
      <xdr:col>9</xdr:col>
      <xdr:colOff>248920</xdr:colOff>
      <xdr:row>37</xdr:row>
      <xdr:rowOff>112</xdr:rowOff>
    </xdr:to>
    <xdr:pic>
      <xdr:nvPicPr>
        <xdr:cNvPr id="7" name="Afbeelding 6">
          <a:extLst>
            <a:ext uri="{FF2B5EF4-FFF2-40B4-BE49-F238E27FC236}">
              <a16:creationId xmlns:a16="http://schemas.microsoft.com/office/drawing/2014/main" id="{A0106935-2ED9-15C4-F1AF-A76E48BAAF7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353175" y="9153525"/>
          <a:ext cx="4411980" cy="213360"/>
        </a:xfrm>
        <a:prstGeom prst="rect">
          <a:avLst/>
        </a:prstGeom>
        <a:noFill/>
        <a:ln>
          <a:noFill/>
        </a:ln>
      </xdr:spPr>
    </xdr:pic>
    <xdr:clientData/>
  </xdr:twoCellAnchor>
  <xdr:twoCellAnchor editAs="oneCell">
    <xdr:from>
      <xdr:col>2</xdr:col>
      <xdr:colOff>57150</xdr:colOff>
      <xdr:row>70</xdr:row>
      <xdr:rowOff>31270</xdr:rowOff>
    </xdr:from>
    <xdr:to>
      <xdr:col>14</xdr:col>
      <xdr:colOff>61405</xdr:colOff>
      <xdr:row>87</xdr:row>
      <xdr:rowOff>747</xdr:rowOff>
    </xdr:to>
    <xdr:pic>
      <xdr:nvPicPr>
        <xdr:cNvPr id="8" name="Afbeelding 7">
          <a:extLst>
            <a:ext uri="{FF2B5EF4-FFF2-40B4-BE49-F238E27FC236}">
              <a16:creationId xmlns:a16="http://schemas.microsoft.com/office/drawing/2014/main" id="{A308EB14-096C-FA6E-9610-8A08BFE3FD7E}"/>
            </a:ext>
          </a:extLst>
        </xdr:cNvPr>
        <xdr:cNvPicPr>
          <a:picLocks noChangeAspect="1"/>
        </xdr:cNvPicPr>
      </xdr:nvPicPr>
      <xdr:blipFill>
        <a:blip xmlns:r="http://schemas.openxmlformats.org/officeDocument/2006/relationships" r:embed="rId6"/>
        <a:stretch>
          <a:fillRect/>
        </a:stretch>
      </xdr:blipFill>
      <xdr:spPr>
        <a:xfrm>
          <a:off x="6296025" y="14128270"/>
          <a:ext cx="7313105" cy="5302730"/>
        </a:xfrm>
        <a:prstGeom prst="rect">
          <a:avLst/>
        </a:prstGeom>
      </xdr:spPr>
    </xdr:pic>
    <xdr:clientData/>
  </xdr:twoCellAnchor>
  <xdr:twoCellAnchor>
    <xdr:from>
      <xdr:col>1</xdr:col>
      <xdr:colOff>1400175</xdr:colOff>
      <xdr:row>70</xdr:row>
      <xdr:rowOff>28575</xdr:rowOff>
    </xdr:from>
    <xdr:to>
      <xdr:col>1</xdr:col>
      <xdr:colOff>1724025</xdr:colOff>
      <xdr:row>70</xdr:row>
      <xdr:rowOff>200025</xdr:rowOff>
    </xdr:to>
    <xdr:pic>
      <xdr:nvPicPr>
        <xdr:cNvPr id="9" name="Afbeelding 15">
          <a:extLst>
            <a:ext uri="{FF2B5EF4-FFF2-40B4-BE49-F238E27FC236}">
              <a16:creationId xmlns:a16="http://schemas.microsoft.com/office/drawing/2014/main" id="{49D69D57-1ED2-8173-6B9E-D5877140FF8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009775" y="13935075"/>
          <a:ext cx="3238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1428750</xdr:colOff>
      <xdr:row>72</xdr:row>
      <xdr:rowOff>19050</xdr:rowOff>
    </xdr:from>
    <xdr:to>
      <xdr:col>1</xdr:col>
      <xdr:colOff>1752600</xdr:colOff>
      <xdr:row>72</xdr:row>
      <xdr:rowOff>200025</xdr:rowOff>
    </xdr:to>
    <xdr:pic>
      <xdr:nvPicPr>
        <xdr:cNvPr id="10" name="Afbeelding 16">
          <a:extLst>
            <a:ext uri="{FF2B5EF4-FFF2-40B4-BE49-F238E27FC236}">
              <a16:creationId xmlns:a16="http://schemas.microsoft.com/office/drawing/2014/main" id="{340925F3-1E95-F4B4-1051-102E30666C2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38350" y="14497050"/>
          <a:ext cx="3238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3848100</xdr:colOff>
      <xdr:row>74</xdr:row>
      <xdr:rowOff>47625</xdr:rowOff>
    </xdr:from>
    <xdr:to>
      <xdr:col>1</xdr:col>
      <xdr:colOff>4105275</xdr:colOff>
      <xdr:row>74</xdr:row>
      <xdr:rowOff>342900</xdr:rowOff>
    </xdr:to>
    <xdr:pic>
      <xdr:nvPicPr>
        <xdr:cNvPr id="11" name="Afbeelding 13">
          <a:extLst>
            <a:ext uri="{FF2B5EF4-FFF2-40B4-BE49-F238E27FC236}">
              <a16:creationId xmlns:a16="http://schemas.microsoft.com/office/drawing/2014/main" id="{3EC642F2-78CA-0B08-8658-A6CE85965128}"/>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l="49634" t="46825" r="47057" b="47530"/>
        <a:stretch>
          <a:fillRect/>
        </a:stretch>
      </xdr:blipFill>
      <xdr:spPr bwMode="auto">
        <a:xfrm>
          <a:off x="4457700" y="15097125"/>
          <a:ext cx="257175"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1200150</xdr:colOff>
      <xdr:row>78</xdr:row>
      <xdr:rowOff>19050</xdr:rowOff>
    </xdr:from>
    <xdr:to>
      <xdr:col>1</xdr:col>
      <xdr:colOff>1874693</xdr:colOff>
      <xdr:row>79</xdr:row>
      <xdr:rowOff>9525</xdr:rowOff>
    </xdr:to>
    <xdr:pic>
      <xdr:nvPicPr>
        <xdr:cNvPr id="12" name="Afbeelding 14">
          <a:extLst>
            <a:ext uri="{FF2B5EF4-FFF2-40B4-BE49-F238E27FC236}">
              <a16:creationId xmlns:a16="http://schemas.microsoft.com/office/drawing/2014/main" id="{A86D4D30-146C-26B2-D72A-224DD6850E7C}"/>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09750" y="16211550"/>
          <a:ext cx="674543"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47625</xdr:colOff>
      <xdr:row>53</xdr:row>
      <xdr:rowOff>19050</xdr:rowOff>
    </xdr:from>
    <xdr:to>
      <xdr:col>7</xdr:col>
      <xdr:colOff>329565</xdr:colOff>
      <xdr:row>55</xdr:row>
      <xdr:rowOff>112074</xdr:rowOff>
    </xdr:to>
    <xdr:pic>
      <xdr:nvPicPr>
        <xdr:cNvPr id="14" name="Afbeelding 13">
          <a:extLst>
            <a:ext uri="{FF2B5EF4-FFF2-40B4-BE49-F238E27FC236}">
              <a16:creationId xmlns:a16="http://schemas.microsoft.com/office/drawing/2014/main" id="{EE28FC9B-F32E-E56D-EC47-5468EAF45463}"/>
            </a:ext>
          </a:extLst>
        </xdr:cNvPr>
        <xdr:cNvPicPr>
          <a:picLocks noChangeAspect="1"/>
        </xdr:cNvPicPr>
      </xdr:nvPicPr>
      <xdr:blipFill>
        <a:blip xmlns:r="http://schemas.openxmlformats.org/officeDocument/2006/relationships" r:embed="rId11"/>
        <a:stretch>
          <a:fillRect/>
        </a:stretch>
      </xdr:blipFill>
      <xdr:spPr>
        <a:xfrm>
          <a:off x="6286500" y="19831050"/>
          <a:ext cx="3314700" cy="1045524"/>
        </a:xfrm>
        <a:prstGeom prst="rect">
          <a:avLst/>
        </a:prstGeom>
      </xdr:spPr>
    </xdr:pic>
    <xdr:clientData/>
  </xdr:twoCellAnchor>
  <xdr:twoCellAnchor editAs="oneCell">
    <xdr:from>
      <xdr:col>2</xdr:col>
      <xdr:colOff>47626</xdr:colOff>
      <xdr:row>59</xdr:row>
      <xdr:rowOff>19051</xdr:rowOff>
    </xdr:from>
    <xdr:to>
      <xdr:col>6</xdr:col>
      <xdr:colOff>137796</xdr:colOff>
      <xdr:row>65</xdr:row>
      <xdr:rowOff>100743</xdr:rowOff>
    </xdr:to>
    <xdr:pic>
      <xdr:nvPicPr>
        <xdr:cNvPr id="15" name="Afbeelding 14">
          <a:extLst>
            <a:ext uri="{FF2B5EF4-FFF2-40B4-BE49-F238E27FC236}">
              <a16:creationId xmlns:a16="http://schemas.microsoft.com/office/drawing/2014/main" id="{F9D40499-F96A-F6A1-3089-A3EE11F5C6AD}"/>
            </a:ext>
          </a:extLst>
        </xdr:cNvPr>
        <xdr:cNvPicPr>
          <a:picLocks noChangeAspect="1"/>
        </xdr:cNvPicPr>
      </xdr:nvPicPr>
      <xdr:blipFill>
        <a:blip xmlns:r="http://schemas.openxmlformats.org/officeDocument/2006/relationships" r:embed="rId12"/>
        <a:stretch>
          <a:fillRect/>
        </a:stretch>
      </xdr:blipFill>
      <xdr:spPr>
        <a:xfrm>
          <a:off x="6286501" y="21545551"/>
          <a:ext cx="2533650" cy="1415192"/>
        </a:xfrm>
        <a:prstGeom prst="rect">
          <a:avLst/>
        </a:prstGeom>
      </xdr:spPr>
    </xdr:pic>
    <xdr:clientData/>
  </xdr:twoCellAnchor>
  <xdr:twoCellAnchor editAs="oneCell">
    <xdr:from>
      <xdr:col>2</xdr:col>
      <xdr:colOff>28574</xdr:colOff>
      <xdr:row>89</xdr:row>
      <xdr:rowOff>171450</xdr:rowOff>
    </xdr:from>
    <xdr:to>
      <xdr:col>12</xdr:col>
      <xdr:colOff>327205</xdr:colOff>
      <xdr:row>103</xdr:row>
      <xdr:rowOff>177798</xdr:rowOff>
    </xdr:to>
    <xdr:pic>
      <xdr:nvPicPr>
        <xdr:cNvPr id="2" name="Afbeelding 1">
          <a:extLst>
            <a:ext uri="{FF2B5EF4-FFF2-40B4-BE49-F238E27FC236}">
              <a16:creationId xmlns:a16="http://schemas.microsoft.com/office/drawing/2014/main" id="{6742282F-EC7E-1F9D-F0FA-37066C0BEF28}"/>
            </a:ext>
          </a:extLst>
        </xdr:cNvPr>
        <xdr:cNvPicPr>
          <a:picLocks noChangeAspect="1"/>
        </xdr:cNvPicPr>
      </xdr:nvPicPr>
      <xdr:blipFill>
        <a:blip xmlns:r="http://schemas.openxmlformats.org/officeDocument/2006/relationships" r:embed="rId13"/>
        <a:stretch>
          <a:fillRect/>
        </a:stretch>
      </xdr:blipFill>
      <xdr:spPr>
        <a:xfrm>
          <a:off x="6000749" y="23793450"/>
          <a:ext cx="6384471" cy="3238499"/>
        </a:xfrm>
        <a:prstGeom prst="rect">
          <a:avLst/>
        </a:prstGeom>
      </xdr:spPr>
    </xdr:pic>
    <xdr:clientData/>
  </xdr:twoCellAnchor>
  <xdr:twoCellAnchor editAs="oneCell">
    <xdr:from>
      <xdr:col>2</xdr:col>
      <xdr:colOff>57150</xdr:colOff>
      <xdr:row>105</xdr:row>
      <xdr:rowOff>9525</xdr:rowOff>
    </xdr:from>
    <xdr:to>
      <xdr:col>13</xdr:col>
      <xdr:colOff>519805</xdr:colOff>
      <xdr:row>132</xdr:row>
      <xdr:rowOff>75549</xdr:rowOff>
    </xdr:to>
    <xdr:pic>
      <xdr:nvPicPr>
        <xdr:cNvPr id="13" name="Afbeelding 12">
          <a:extLst>
            <a:ext uri="{FF2B5EF4-FFF2-40B4-BE49-F238E27FC236}">
              <a16:creationId xmlns:a16="http://schemas.microsoft.com/office/drawing/2014/main" id="{71373F0E-7031-BBF7-170E-D9B9AFD2A489}"/>
            </a:ext>
          </a:extLst>
        </xdr:cNvPr>
        <xdr:cNvPicPr>
          <a:picLocks noChangeAspect="1"/>
        </xdr:cNvPicPr>
      </xdr:nvPicPr>
      <xdr:blipFill>
        <a:blip xmlns:r="http://schemas.openxmlformats.org/officeDocument/2006/relationships" r:embed="rId14"/>
        <a:stretch>
          <a:fillRect/>
        </a:stretch>
      </xdr:blipFill>
      <xdr:spPr>
        <a:xfrm>
          <a:off x="6029325" y="27251025"/>
          <a:ext cx="7161905" cy="5209524"/>
        </a:xfrm>
        <a:prstGeom prst="rect">
          <a:avLst/>
        </a:prstGeom>
      </xdr:spPr>
    </xdr:pic>
    <xdr:clientData/>
  </xdr:twoCellAnchor>
  <xdr:twoCellAnchor editAs="oneCell">
    <xdr:from>
      <xdr:col>3</xdr:col>
      <xdr:colOff>47625</xdr:colOff>
      <xdr:row>134</xdr:row>
      <xdr:rowOff>95250</xdr:rowOff>
    </xdr:from>
    <xdr:to>
      <xdr:col>13</xdr:col>
      <xdr:colOff>519880</xdr:colOff>
      <xdr:row>135</xdr:row>
      <xdr:rowOff>177768</xdr:rowOff>
    </xdr:to>
    <xdr:pic>
      <xdr:nvPicPr>
        <xdr:cNvPr id="16" name="Afbeelding 15">
          <a:extLst>
            <a:ext uri="{FF2B5EF4-FFF2-40B4-BE49-F238E27FC236}">
              <a16:creationId xmlns:a16="http://schemas.microsoft.com/office/drawing/2014/main" id="{9C074FE2-67BF-4F52-9767-5B75C3972755}"/>
            </a:ext>
          </a:extLst>
        </xdr:cNvPr>
        <xdr:cNvPicPr>
          <a:picLocks noChangeAspect="1"/>
        </xdr:cNvPicPr>
      </xdr:nvPicPr>
      <xdr:blipFill>
        <a:blip xmlns:r="http://schemas.openxmlformats.org/officeDocument/2006/relationships" r:embed="rId15"/>
        <a:stretch>
          <a:fillRect/>
        </a:stretch>
      </xdr:blipFill>
      <xdr:spPr>
        <a:xfrm>
          <a:off x="6629400" y="32861250"/>
          <a:ext cx="6561905" cy="26666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estekken.liander.nl/verrekentool-vervuildegrond-crow-400/"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1.bin"/><Relationship Id="rId1" Type="http://schemas.openxmlformats.org/officeDocument/2006/relationships/hyperlink" Target="https://alliander.sharepoint.com/:x:/r/teams/ContractmanagementLianderAannemerijenLogistiek/_layouts/15/Doc2.aspx?action=edit&amp;sourcedoc=%7B954f0b05-99c7-43dd-b51e-854a767ca5c9%7D&amp;wdOrigin=TEAMS-MAGLEV.teamsSdk_ns.rwc&amp;wdExp=TEAMS-TREATMENT&amp;wdhostclicktime=1764757243218&amp;web=1" TargetMode="External"/><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B5B6F-8B8E-4A38-A28E-DF341F863502}">
  <sheetPr codeName="Blad2"/>
  <dimension ref="A1:Q141"/>
  <sheetViews>
    <sheetView zoomScale="85" zoomScaleNormal="85" workbookViewId="0">
      <selection activeCell="B2" sqref="B2"/>
    </sheetView>
  </sheetViews>
  <sheetFormatPr defaultRowHeight="15" x14ac:dyDescent="0.25"/>
  <cols>
    <col min="1" max="1" width="5.140625" customWidth="1"/>
    <col min="2" max="2" width="84.42578125" customWidth="1"/>
  </cols>
  <sheetData>
    <row r="1" spans="1:17" x14ac:dyDescent="0.25">
      <c r="A1" s="221"/>
      <c r="B1" s="221"/>
      <c r="C1" s="221"/>
      <c r="D1" s="221"/>
      <c r="E1" s="221"/>
      <c r="F1" s="221"/>
      <c r="G1" s="221"/>
      <c r="H1" s="221"/>
      <c r="I1" s="221"/>
      <c r="J1" s="221"/>
      <c r="K1" s="221"/>
      <c r="L1" s="221"/>
      <c r="M1" s="221"/>
      <c r="N1" s="221"/>
      <c r="O1" s="221"/>
      <c r="P1" s="221"/>
      <c r="Q1" s="221"/>
    </row>
    <row r="2" spans="1:17" x14ac:dyDescent="0.25">
      <c r="A2" s="222"/>
      <c r="B2" s="222" t="s">
        <v>0</v>
      </c>
      <c r="C2" s="221"/>
      <c r="D2" s="221"/>
      <c r="E2" s="221"/>
      <c r="F2" s="221"/>
      <c r="G2" s="221"/>
      <c r="H2" s="221"/>
      <c r="I2" s="221"/>
      <c r="J2" s="221"/>
      <c r="K2" s="221"/>
      <c r="L2" s="221"/>
      <c r="M2" s="221"/>
      <c r="N2" s="221"/>
      <c r="O2" s="221"/>
      <c r="P2" s="221"/>
      <c r="Q2" s="221"/>
    </row>
    <row r="3" spans="1:17" x14ac:dyDescent="0.25">
      <c r="A3" s="221"/>
      <c r="B3" s="221" t="s">
        <v>1</v>
      </c>
      <c r="C3" s="229" t="s">
        <v>2</v>
      </c>
      <c r="D3" s="221"/>
      <c r="E3" s="221"/>
      <c r="F3" s="221"/>
      <c r="G3" s="221"/>
      <c r="H3" s="221"/>
      <c r="I3" s="221"/>
      <c r="J3" s="221"/>
      <c r="K3" s="221"/>
      <c r="L3" s="221"/>
      <c r="M3" s="221"/>
      <c r="N3" s="221"/>
      <c r="O3" s="221"/>
      <c r="P3" s="221"/>
      <c r="Q3" s="221"/>
    </row>
    <row r="4" spans="1:17" x14ac:dyDescent="0.25">
      <c r="A4" s="221"/>
      <c r="B4" s="221"/>
      <c r="C4" s="221"/>
      <c r="D4" s="221"/>
      <c r="E4" s="221"/>
      <c r="F4" s="221"/>
      <c r="G4" s="221"/>
      <c r="H4" s="221"/>
      <c r="I4" s="221"/>
      <c r="J4" s="221"/>
      <c r="K4" s="221"/>
      <c r="L4" s="221"/>
      <c r="M4" s="221"/>
      <c r="N4" s="221"/>
      <c r="O4" s="221"/>
      <c r="P4" s="221"/>
      <c r="Q4" s="221"/>
    </row>
    <row r="5" spans="1:17" x14ac:dyDescent="0.25">
      <c r="A5" s="219"/>
      <c r="B5" s="220" t="s">
        <v>3</v>
      </c>
      <c r="C5" s="219"/>
      <c r="D5" s="219"/>
      <c r="E5" s="219"/>
      <c r="F5" s="219"/>
      <c r="G5" s="219"/>
      <c r="H5" s="219"/>
      <c r="I5" s="219"/>
      <c r="J5" s="219"/>
      <c r="K5" s="219"/>
      <c r="L5" s="219"/>
      <c r="M5" s="219"/>
      <c r="N5" s="219"/>
      <c r="O5" s="219"/>
      <c r="P5" s="219"/>
      <c r="Q5" s="219"/>
    </row>
    <row r="6" spans="1:17" x14ac:dyDescent="0.25">
      <c r="A6" s="221"/>
      <c r="B6" s="221"/>
      <c r="C6" s="221"/>
      <c r="D6" s="221"/>
      <c r="E6" s="221"/>
      <c r="F6" s="221"/>
      <c r="G6" s="221"/>
      <c r="H6" s="221"/>
      <c r="I6" s="221"/>
      <c r="J6" s="221"/>
      <c r="K6" s="221"/>
      <c r="L6" s="221"/>
      <c r="M6" s="221"/>
      <c r="N6" s="221"/>
      <c r="O6" s="221"/>
      <c r="P6" s="221"/>
      <c r="Q6" s="221"/>
    </row>
    <row r="7" spans="1:17" x14ac:dyDescent="0.25">
      <c r="A7" s="222"/>
      <c r="B7" s="222" t="s">
        <v>4</v>
      </c>
      <c r="C7" s="221"/>
      <c r="D7" s="221"/>
      <c r="E7" s="221"/>
      <c r="F7" s="221"/>
      <c r="G7" s="221"/>
      <c r="H7" s="221"/>
      <c r="I7" s="221"/>
      <c r="J7" s="221"/>
      <c r="K7" s="221"/>
      <c r="L7" s="221"/>
      <c r="M7" s="221"/>
      <c r="N7" s="221"/>
      <c r="O7" s="221"/>
      <c r="P7" s="221"/>
      <c r="Q7" s="221"/>
    </row>
    <row r="8" spans="1:17" x14ac:dyDescent="0.25">
      <c r="A8" s="221"/>
      <c r="B8" s="221" t="s">
        <v>5</v>
      </c>
      <c r="C8" s="221"/>
      <c r="D8" s="221"/>
      <c r="E8" s="221"/>
      <c r="F8" s="221"/>
      <c r="G8" s="221"/>
      <c r="H8" s="221"/>
      <c r="I8" s="221"/>
      <c r="J8" s="221"/>
      <c r="K8" s="221"/>
      <c r="L8" s="221"/>
      <c r="M8" s="221"/>
      <c r="N8" s="221"/>
      <c r="O8" s="221"/>
      <c r="P8" s="221"/>
      <c r="Q8" s="221"/>
    </row>
    <row r="9" spans="1:17" x14ac:dyDescent="0.25">
      <c r="A9" s="221"/>
      <c r="B9" s="221" t="s">
        <v>6</v>
      </c>
      <c r="C9" s="221"/>
      <c r="D9" s="221"/>
      <c r="E9" s="221"/>
      <c r="F9" s="221"/>
      <c r="G9" s="221"/>
      <c r="H9" s="221"/>
      <c r="I9" s="221"/>
      <c r="J9" s="221"/>
      <c r="K9" s="221"/>
      <c r="L9" s="221"/>
      <c r="M9" s="221"/>
      <c r="N9" s="221"/>
      <c r="O9" s="221"/>
      <c r="P9" s="221"/>
      <c r="Q9" s="221"/>
    </row>
    <row r="10" spans="1:17" x14ac:dyDescent="0.25">
      <c r="A10" s="221"/>
      <c r="B10" s="221" t="s">
        <v>7</v>
      </c>
      <c r="C10" s="221"/>
      <c r="D10" s="221"/>
      <c r="E10" s="221"/>
      <c r="F10" s="221"/>
      <c r="G10" s="221"/>
      <c r="H10" s="221"/>
      <c r="I10" s="221"/>
      <c r="J10" s="221"/>
      <c r="K10" s="221"/>
      <c r="L10" s="221"/>
      <c r="M10" s="221"/>
      <c r="N10" s="221"/>
      <c r="O10" s="221"/>
      <c r="P10" s="221"/>
      <c r="Q10" s="221"/>
    </row>
    <row r="11" spans="1:17" x14ac:dyDescent="0.25">
      <c r="A11" s="221"/>
      <c r="B11" s="221" t="s">
        <v>8</v>
      </c>
      <c r="C11" s="221"/>
      <c r="D11" s="221"/>
      <c r="E11" s="221"/>
      <c r="F11" s="221"/>
      <c r="G11" s="221"/>
      <c r="H11" s="221"/>
      <c r="I11" s="221"/>
      <c r="J11" s="221"/>
      <c r="K11" s="221"/>
      <c r="L11" s="221"/>
      <c r="M11" s="221"/>
      <c r="N11" s="221"/>
      <c r="O11" s="221"/>
      <c r="P11" s="221"/>
      <c r="Q11" s="221"/>
    </row>
    <row r="12" spans="1:17" x14ac:dyDescent="0.25">
      <c r="A12" s="221"/>
      <c r="B12" s="221" t="s">
        <v>9</v>
      </c>
      <c r="C12" s="221"/>
      <c r="D12" s="221"/>
      <c r="E12" s="221"/>
      <c r="F12" s="221"/>
      <c r="G12" s="221"/>
      <c r="H12" s="221"/>
      <c r="I12" s="221"/>
      <c r="J12" s="221"/>
      <c r="K12" s="221"/>
      <c r="L12" s="221"/>
      <c r="M12" s="221"/>
      <c r="N12" s="221"/>
      <c r="O12" s="221"/>
      <c r="P12" s="221"/>
      <c r="Q12" s="221"/>
    </row>
    <row r="13" spans="1:17" x14ac:dyDescent="0.25">
      <c r="A13" s="221"/>
      <c r="B13" s="221"/>
      <c r="C13" s="221"/>
      <c r="D13" s="221"/>
      <c r="E13" s="221"/>
      <c r="F13" s="221"/>
      <c r="G13" s="221"/>
      <c r="H13" s="221"/>
      <c r="I13" s="221"/>
      <c r="J13" s="221"/>
      <c r="K13" s="221"/>
      <c r="L13" s="221"/>
      <c r="M13" s="221"/>
      <c r="N13" s="221"/>
      <c r="O13" s="221"/>
      <c r="P13" s="221"/>
      <c r="Q13" s="221"/>
    </row>
    <row r="14" spans="1:17" x14ac:dyDescent="0.25">
      <c r="A14" s="221"/>
      <c r="B14" s="221"/>
      <c r="C14" s="221"/>
      <c r="D14" s="221"/>
      <c r="E14" s="221"/>
      <c r="F14" s="221"/>
      <c r="G14" s="221"/>
      <c r="H14" s="221"/>
      <c r="I14" s="221"/>
      <c r="J14" s="221"/>
      <c r="K14" s="221"/>
      <c r="L14" s="221"/>
      <c r="M14" s="221"/>
      <c r="N14" s="221"/>
      <c r="O14" s="221"/>
      <c r="P14" s="221"/>
      <c r="Q14" s="221"/>
    </row>
    <row r="15" spans="1:17" x14ac:dyDescent="0.25">
      <c r="A15" s="222"/>
      <c r="B15" s="222" t="s">
        <v>10</v>
      </c>
      <c r="C15" s="221"/>
      <c r="D15" s="221"/>
      <c r="E15" s="221"/>
      <c r="F15" s="221"/>
      <c r="G15" s="221"/>
      <c r="H15" s="221"/>
      <c r="I15" s="221"/>
      <c r="J15" s="221"/>
      <c r="K15" s="221"/>
      <c r="L15" s="221"/>
      <c r="M15" s="221"/>
      <c r="N15" s="221"/>
      <c r="O15" s="221"/>
      <c r="P15" s="221"/>
      <c r="Q15" s="221"/>
    </row>
    <row r="16" spans="1:17" x14ac:dyDescent="0.25">
      <c r="A16" s="221"/>
      <c r="B16" s="221"/>
      <c r="C16" s="221"/>
      <c r="D16" s="221"/>
      <c r="E16" s="221"/>
      <c r="F16" s="221"/>
      <c r="G16" s="221"/>
      <c r="H16" s="221"/>
      <c r="I16" s="221"/>
      <c r="J16" s="221"/>
      <c r="K16" s="221"/>
      <c r="L16" s="221"/>
      <c r="M16" s="221"/>
      <c r="N16" s="221"/>
      <c r="O16" s="221"/>
      <c r="P16" s="221"/>
      <c r="Q16" s="221"/>
    </row>
    <row r="17" spans="1:17" x14ac:dyDescent="0.25">
      <c r="A17" s="221"/>
      <c r="B17" s="221" t="s">
        <v>11</v>
      </c>
      <c r="C17" s="221"/>
      <c r="D17" s="221"/>
      <c r="E17" s="221"/>
      <c r="F17" s="221"/>
      <c r="G17" s="221"/>
      <c r="H17" s="221"/>
      <c r="I17" s="221"/>
      <c r="J17" s="221"/>
      <c r="K17" s="221"/>
      <c r="L17" s="221"/>
      <c r="M17" s="221"/>
      <c r="N17" s="221"/>
      <c r="O17" s="221"/>
      <c r="P17" s="221"/>
      <c r="Q17" s="221"/>
    </row>
    <row r="18" spans="1:17" ht="30" x14ac:dyDescent="0.25">
      <c r="A18" s="221"/>
      <c r="B18" s="223" t="s">
        <v>12</v>
      </c>
      <c r="C18" s="221"/>
      <c r="D18" s="221"/>
      <c r="E18" s="221"/>
      <c r="F18" s="221"/>
      <c r="G18" s="221"/>
      <c r="H18" s="221"/>
      <c r="I18" s="221"/>
      <c r="J18" s="221"/>
      <c r="K18" s="221"/>
      <c r="L18" s="221"/>
      <c r="M18" s="221"/>
      <c r="N18" s="221"/>
      <c r="O18" s="221"/>
      <c r="P18" s="221"/>
      <c r="Q18" s="221"/>
    </row>
    <row r="19" spans="1:17" ht="30" x14ac:dyDescent="0.25">
      <c r="A19" s="221"/>
      <c r="B19" s="223" t="s">
        <v>13</v>
      </c>
      <c r="C19" s="221"/>
      <c r="D19" s="221"/>
      <c r="E19" s="221"/>
      <c r="F19" s="221"/>
      <c r="G19" s="221"/>
      <c r="H19" s="221"/>
      <c r="I19" s="221"/>
      <c r="J19" s="221"/>
      <c r="K19" s="221"/>
      <c r="L19" s="221"/>
      <c r="M19" s="221"/>
      <c r="N19" s="221"/>
      <c r="O19" s="221"/>
      <c r="P19" s="221"/>
      <c r="Q19" s="221"/>
    </row>
    <row r="20" spans="1:17" x14ac:dyDescent="0.25">
      <c r="A20" s="221"/>
      <c r="B20" s="221" t="s">
        <v>14</v>
      </c>
      <c r="C20" s="221"/>
      <c r="D20" s="221"/>
      <c r="E20" s="221"/>
      <c r="F20" s="221"/>
      <c r="G20" s="221"/>
      <c r="H20" s="221"/>
      <c r="I20" s="221"/>
      <c r="J20" s="221"/>
      <c r="K20" s="221"/>
      <c r="L20" s="221"/>
      <c r="M20" s="221"/>
      <c r="N20" s="221"/>
      <c r="O20" s="221"/>
      <c r="P20" s="221"/>
      <c r="Q20" s="221"/>
    </row>
    <row r="21" spans="1:17" x14ac:dyDescent="0.25">
      <c r="A21" s="221"/>
      <c r="B21" s="221"/>
      <c r="C21" s="221"/>
      <c r="D21" s="221"/>
      <c r="E21" s="221"/>
      <c r="F21" s="221"/>
      <c r="G21" s="221"/>
      <c r="H21" s="221"/>
      <c r="I21" s="221"/>
      <c r="J21" s="221"/>
      <c r="K21" s="221"/>
      <c r="L21" s="221"/>
      <c r="M21" s="221"/>
      <c r="N21" s="221"/>
      <c r="O21" s="221"/>
      <c r="P21" s="221"/>
      <c r="Q21" s="221"/>
    </row>
    <row r="22" spans="1:17" x14ac:dyDescent="0.25">
      <c r="A22" s="221"/>
      <c r="B22" s="221" t="s">
        <v>15</v>
      </c>
      <c r="C22" s="221"/>
      <c r="D22" s="221"/>
      <c r="E22" s="221"/>
      <c r="F22" s="221"/>
      <c r="G22" s="221"/>
      <c r="H22" s="221"/>
      <c r="I22" s="221"/>
      <c r="J22" s="221"/>
      <c r="K22" s="221"/>
      <c r="L22" s="221"/>
      <c r="M22" s="221"/>
      <c r="N22" s="221"/>
      <c r="O22" s="221"/>
      <c r="P22" s="221"/>
      <c r="Q22" s="221"/>
    </row>
    <row r="23" spans="1:17" x14ac:dyDescent="0.25">
      <c r="A23" s="221"/>
      <c r="B23" s="221" t="s">
        <v>16</v>
      </c>
      <c r="C23" s="221"/>
      <c r="D23" s="221"/>
      <c r="E23" s="221"/>
      <c r="F23" s="221"/>
      <c r="G23" s="221"/>
      <c r="H23" s="221"/>
      <c r="I23" s="221"/>
      <c r="J23" s="221"/>
      <c r="K23" s="221"/>
      <c r="L23" s="221"/>
      <c r="M23" s="221"/>
      <c r="N23" s="221"/>
      <c r="O23" s="221"/>
      <c r="P23" s="221"/>
      <c r="Q23" s="221"/>
    </row>
    <row r="24" spans="1:17" x14ac:dyDescent="0.25">
      <c r="A24" s="221"/>
      <c r="B24" s="221" t="s">
        <v>17</v>
      </c>
      <c r="C24" s="221"/>
      <c r="D24" s="221"/>
      <c r="E24" s="221"/>
      <c r="F24" s="221"/>
      <c r="G24" s="221"/>
      <c r="H24" s="221"/>
      <c r="I24" s="221"/>
      <c r="J24" s="221"/>
      <c r="K24" s="221"/>
      <c r="L24" s="221"/>
      <c r="M24" s="221"/>
      <c r="N24" s="221"/>
      <c r="O24" s="221"/>
      <c r="P24" s="221"/>
      <c r="Q24" s="221"/>
    </row>
    <row r="25" spans="1:17" x14ac:dyDescent="0.25">
      <c r="A25" s="221"/>
      <c r="B25" s="221"/>
      <c r="C25" s="221"/>
      <c r="D25" s="221"/>
      <c r="E25" s="221"/>
      <c r="F25" s="221"/>
      <c r="G25" s="221"/>
      <c r="H25" s="221"/>
      <c r="I25" s="221"/>
      <c r="J25" s="221"/>
      <c r="K25" s="221"/>
      <c r="L25" s="221"/>
      <c r="M25" s="221"/>
      <c r="N25" s="221"/>
      <c r="O25" s="221"/>
      <c r="P25" s="221"/>
      <c r="Q25" s="221"/>
    </row>
    <row r="26" spans="1:17" ht="45" x14ac:dyDescent="0.25">
      <c r="A26" s="221"/>
      <c r="B26" s="228" t="s">
        <v>18</v>
      </c>
      <c r="C26" s="221"/>
      <c r="D26" s="221"/>
      <c r="E26" s="221"/>
      <c r="F26" s="221"/>
      <c r="G26" s="221"/>
      <c r="H26" s="221"/>
      <c r="I26" s="221"/>
      <c r="J26" s="221"/>
      <c r="K26" s="221"/>
      <c r="L26" s="221"/>
      <c r="M26" s="221"/>
      <c r="N26" s="221"/>
      <c r="O26" s="221"/>
      <c r="P26" s="221"/>
      <c r="Q26" s="221"/>
    </row>
    <row r="27" spans="1:17" x14ac:dyDescent="0.25">
      <c r="A27" s="221"/>
      <c r="B27" s="221"/>
      <c r="C27" s="221"/>
      <c r="D27" s="221"/>
      <c r="E27" s="221"/>
      <c r="F27" s="221"/>
      <c r="G27" s="221"/>
      <c r="H27" s="221"/>
      <c r="I27" s="221"/>
      <c r="J27" s="221"/>
      <c r="K27" s="221"/>
      <c r="L27" s="221"/>
      <c r="M27" s="221"/>
      <c r="N27" s="221"/>
      <c r="O27" s="221"/>
      <c r="P27" s="221"/>
      <c r="Q27" s="221"/>
    </row>
    <row r="28" spans="1:17" x14ac:dyDescent="0.25">
      <c r="A28" s="221"/>
      <c r="B28" s="221"/>
      <c r="C28" s="221"/>
      <c r="D28" s="221"/>
      <c r="E28" s="221"/>
      <c r="F28" s="221"/>
      <c r="G28" s="221"/>
      <c r="H28" s="221"/>
      <c r="I28" s="221"/>
      <c r="J28" s="221"/>
      <c r="K28" s="221"/>
      <c r="L28" s="221"/>
      <c r="M28" s="221"/>
      <c r="N28" s="221"/>
      <c r="O28" s="221"/>
      <c r="P28" s="221"/>
      <c r="Q28" s="221"/>
    </row>
    <row r="29" spans="1:17" x14ac:dyDescent="0.25">
      <c r="A29" s="222"/>
      <c r="B29" s="222" t="s">
        <v>19</v>
      </c>
      <c r="C29" s="221"/>
      <c r="D29" s="221"/>
      <c r="E29" s="221"/>
      <c r="F29" s="221"/>
      <c r="G29" s="221"/>
      <c r="H29" s="221"/>
      <c r="I29" s="221"/>
      <c r="J29" s="221"/>
      <c r="K29" s="221"/>
      <c r="L29" s="221"/>
      <c r="M29" s="221"/>
      <c r="N29" s="221"/>
      <c r="O29" s="221"/>
      <c r="P29" s="221"/>
      <c r="Q29" s="221"/>
    </row>
    <row r="30" spans="1:17" x14ac:dyDescent="0.25">
      <c r="A30" s="221"/>
      <c r="B30" s="221"/>
      <c r="C30" s="221"/>
      <c r="D30" s="221"/>
      <c r="E30" s="221"/>
      <c r="F30" s="221"/>
      <c r="G30" s="221"/>
      <c r="H30" s="221"/>
      <c r="I30" s="221"/>
      <c r="J30" s="221"/>
      <c r="K30" s="221"/>
      <c r="L30" s="221"/>
      <c r="M30" s="221"/>
      <c r="N30" s="221"/>
      <c r="O30" s="221"/>
      <c r="P30" s="221"/>
      <c r="Q30" s="221"/>
    </row>
    <row r="31" spans="1:17" x14ac:dyDescent="0.25">
      <c r="A31" s="221"/>
      <c r="B31" s="221" t="s">
        <v>20</v>
      </c>
      <c r="C31" s="221"/>
      <c r="D31" s="221"/>
      <c r="E31" s="221"/>
      <c r="F31" s="221"/>
      <c r="G31" s="221"/>
      <c r="H31" s="221"/>
      <c r="I31" s="221"/>
      <c r="J31" s="221"/>
      <c r="K31" s="221"/>
      <c r="L31" s="221"/>
      <c r="M31" s="221"/>
      <c r="N31" s="221"/>
      <c r="O31" s="221"/>
      <c r="P31" s="221"/>
      <c r="Q31" s="221"/>
    </row>
    <row r="32" spans="1:17" ht="30" x14ac:dyDescent="0.25">
      <c r="A32" s="221"/>
      <c r="B32" s="223" t="s">
        <v>21</v>
      </c>
      <c r="C32" s="221"/>
      <c r="D32" s="221"/>
      <c r="E32" s="221"/>
      <c r="F32" s="221"/>
      <c r="G32" s="221"/>
      <c r="H32" s="221"/>
      <c r="I32" s="221"/>
      <c r="J32" s="221"/>
      <c r="K32" s="221"/>
      <c r="L32" s="221"/>
      <c r="M32" s="221"/>
      <c r="N32" s="221"/>
      <c r="O32" s="221"/>
      <c r="P32" s="221"/>
      <c r="Q32" s="221"/>
    </row>
    <row r="33" spans="1:17" ht="45" x14ac:dyDescent="0.25">
      <c r="A33" s="221"/>
      <c r="B33" s="223" t="s">
        <v>22</v>
      </c>
      <c r="C33" s="221"/>
      <c r="D33" s="221"/>
      <c r="E33" s="221"/>
      <c r="F33" s="221"/>
      <c r="G33" s="221"/>
      <c r="H33" s="221"/>
      <c r="I33" s="221"/>
      <c r="J33" s="221"/>
      <c r="K33" s="221"/>
      <c r="L33" s="221"/>
      <c r="M33" s="221"/>
      <c r="N33" s="221"/>
      <c r="O33" s="221"/>
      <c r="P33" s="221"/>
      <c r="Q33" s="221"/>
    </row>
    <row r="34" spans="1:17" ht="60" x14ac:dyDescent="0.25">
      <c r="A34" s="221"/>
      <c r="B34" s="227" t="s">
        <v>23</v>
      </c>
      <c r="C34" s="221"/>
      <c r="D34" s="221"/>
      <c r="E34" s="221"/>
      <c r="F34" s="221"/>
      <c r="G34" s="221"/>
      <c r="H34" s="221"/>
      <c r="I34" s="221"/>
      <c r="J34" s="221"/>
      <c r="K34" s="221"/>
      <c r="L34" s="221"/>
      <c r="M34" s="221"/>
      <c r="N34" s="221"/>
      <c r="O34" s="221"/>
      <c r="P34" s="221"/>
      <c r="Q34" s="221"/>
    </row>
    <row r="35" spans="1:17" ht="45" x14ac:dyDescent="0.25">
      <c r="A35" s="221"/>
      <c r="B35" s="223" t="s">
        <v>24</v>
      </c>
      <c r="C35" s="221"/>
      <c r="D35" s="221"/>
      <c r="E35" s="221"/>
      <c r="F35" s="221"/>
      <c r="G35" s="221"/>
      <c r="H35" s="221"/>
      <c r="I35" s="221"/>
      <c r="J35" s="221"/>
      <c r="K35" s="221"/>
      <c r="L35" s="221"/>
      <c r="M35" s="221"/>
      <c r="N35" s="221"/>
      <c r="O35" s="221"/>
      <c r="P35" s="221"/>
      <c r="Q35" s="221"/>
    </row>
    <row r="36" spans="1:17" x14ac:dyDescent="0.25">
      <c r="A36" s="221"/>
      <c r="B36" s="221" t="s">
        <v>25</v>
      </c>
      <c r="C36" s="221"/>
      <c r="D36" s="221"/>
      <c r="E36" s="221"/>
      <c r="F36" s="221"/>
      <c r="G36" s="221"/>
      <c r="H36" s="221"/>
      <c r="I36" s="221"/>
      <c r="J36" s="221"/>
      <c r="K36" s="221"/>
      <c r="L36" s="221"/>
      <c r="M36" s="221"/>
      <c r="N36" s="221"/>
      <c r="O36" s="221"/>
      <c r="P36" s="221"/>
      <c r="Q36" s="221"/>
    </row>
    <row r="37" spans="1:17" ht="45" x14ac:dyDescent="0.25">
      <c r="A37" s="221"/>
      <c r="B37" s="223" t="s">
        <v>26</v>
      </c>
      <c r="C37" s="221"/>
      <c r="D37" s="221"/>
      <c r="E37" s="221"/>
      <c r="F37" s="221"/>
      <c r="G37" s="221"/>
      <c r="H37" s="221"/>
      <c r="I37" s="221"/>
      <c r="J37" s="221"/>
      <c r="K37" s="221"/>
      <c r="L37" s="221"/>
      <c r="M37" s="221"/>
      <c r="N37" s="221"/>
      <c r="O37" s="221"/>
      <c r="P37" s="221"/>
      <c r="Q37" s="221"/>
    </row>
    <row r="38" spans="1:17" x14ac:dyDescent="0.25">
      <c r="A38" s="221"/>
      <c r="B38" s="221"/>
      <c r="C38" s="221"/>
      <c r="D38" s="221"/>
      <c r="E38" s="221"/>
      <c r="F38" s="221"/>
      <c r="G38" s="221"/>
      <c r="H38" s="221"/>
      <c r="I38" s="221"/>
      <c r="J38" s="221"/>
      <c r="K38" s="221"/>
      <c r="L38" s="221"/>
      <c r="M38" s="221"/>
      <c r="N38" s="221"/>
      <c r="O38" s="221"/>
      <c r="P38" s="221"/>
      <c r="Q38" s="221"/>
    </row>
    <row r="39" spans="1:17" x14ac:dyDescent="0.25">
      <c r="A39" s="221"/>
      <c r="B39" s="223" t="s">
        <v>27</v>
      </c>
      <c r="C39" s="221"/>
      <c r="D39" s="221"/>
      <c r="E39" s="221"/>
      <c r="F39" s="221"/>
      <c r="G39" s="221"/>
      <c r="H39" s="221"/>
      <c r="I39" s="221"/>
      <c r="J39" s="221"/>
      <c r="K39" s="221"/>
      <c r="L39" s="221"/>
      <c r="M39" s="221"/>
      <c r="N39" s="221"/>
      <c r="O39" s="221"/>
      <c r="P39" s="221"/>
      <c r="Q39" s="221"/>
    </row>
    <row r="40" spans="1:17" ht="30" x14ac:dyDescent="0.25">
      <c r="A40" s="221"/>
      <c r="B40" s="224" t="s">
        <v>28</v>
      </c>
      <c r="C40" s="221"/>
      <c r="D40" s="221"/>
      <c r="E40" s="221"/>
      <c r="F40" s="221"/>
      <c r="G40" s="221"/>
      <c r="H40" s="221"/>
      <c r="I40" s="221"/>
      <c r="J40" s="221"/>
      <c r="K40" s="221"/>
      <c r="L40" s="221"/>
      <c r="M40" s="221"/>
      <c r="N40" s="221"/>
      <c r="O40" s="221"/>
      <c r="P40" s="221"/>
      <c r="Q40" s="221"/>
    </row>
    <row r="41" spans="1:17" x14ac:dyDescent="0.25">
      <c r="A41" s="221"/>
      <c r="B41" s="221"/>
      <c r="C41" s="221"/>
      <c r="D41" s="221"/>
      <c r="E41" s="221"/>
      <c r="F41" s="221"/>
      <c r="G41" s="221"/>
      <c r="H41" s="221"/>
      <c r="I41" s="221"/>
      <c r="J41" s="221"/>
      <c r="K41" s="221"/>
      <c r="L41" s="221"/>
      <c r="M41" s="221"/>
      <c r="N41" s="221"/>
      <c r="O41" s="221"/>
      <c r="P41" s="221"/>
      <c r="Q41" s="221"/>
    </row>
    <row r="42" spans="1:17" x14ac:dyDescent="0.25">
      <c r="A42" s="221"/>
      <c r="B42" s="223" t="s">
        <v>29</v>
      </c>
      <c r="C42" s="221"/>
      <c r="D42" s="221"/>
      <c r="E42" s="221"/>
      <c r="F42" s="221"/>
      <c r="G42" s="221"/>
      <c r="H42" s="221"/>
      <c r="I42" s="221"/>
      <c r="J42" s="221"/>
      <c r="K42" s="221"/>
      <c r="L42" s="221"/>
      <c r="M42" s="221"/>
      <c r="N42" s="221"/>
      <c r="O42" s="221"/>
      <c r="P42" s="221"/>
      <c r="Q42" s="221"/>
    </row>
    <row r="43" spans="1:17" ht="45" x14ac:dyDescent="0.25">
      <c r="A43" s="221"/>
      <c r="B43" s="223" t="s">
        <v>30</v>
      </c>
      <c r="C43" s="221"/>
      <c r="D43" s="221"/>
      <c r="E43" s="221"/>
      <c r="F43" s="221"/>
      <c r="G43" s="221"/>
      <c r="H43" s="221"/>
      <c r="I43" s="221"/>
      <c r="J43" s="221"/>
      <c r="K43" s="221"/>
      <c r="L43" s="221"/>
      <c r="M43" s="221"/>
      <c r="N43" s="221"/>
      <c r="O43" s="221"/>
      <c r="P43" s="221"/>
      <c r="Q43" s="221"/>
    </row>
    <row r="44" spans="1:17" x14ac:dyDescent="0.25">
      <c r="A44" s="221"/>
      <c r="B44" s="225" t="s">
        <v>31</v>
      </c>
      <c r="C44" s="221"/>
      <c r="D44" s="221"/>
      <c r="E44" s="221"/>
      <c r="F44" s="221"/>
      <c r="G44" s="221"/>
      <c r="H44" s="221"/>
      <c r="I44" s="221"/>
      <c r="J44" s="221"/>
      <c r="K44" s="221"/>
      <c r="L44" s="221"/>
      <c r="M44" s="221"/>
      <c r="N44" s="221"/>
      <c r="O44" s="221"/>
      <c r="P44" s="221"/>
      <c r="Q44" s="221"/>
    </row>
    <row r="45" spans="1:17" x14ac:dyDescent="0.25">
      <c r="A45" s="221"/>
      <c r="B45" s="223"/>
      <c r="C45" s="221"/>
      <c r="D45" s="221"/>
      <c r="E45" s="221"/>
      <c r="F45" s="221"/>
      <c r="G45" s="221"/>
      <c r="H45" s="221"/>
      <c r="I45" s="221"/>
      <c r="J45" s="221"/>
      <c r="K45" s="221"/>
      <c r="L45" s="221"/>
      <c r="M45" s="221"/>
      <c r="N45" s="221"/>
      <c r="O45" s="221"/>
      <c r="P45" s="221"/>
      <c r="Q45" s="221"/>
    </row>
    <row r="46" spans="1:17" x14ac:dyDescent="0.25">
      <c r="A46" s="221"/>
      <c r="B46" s="221" t="s">
        <v>32</v>
      </c>
      <c r="C46" s="221"/>
      <c r="D46" s="221"/>
      <c r="E46" s="221"/>
      <c r="F46" s="221"/>
      <c r="G46" s="221"/>
      <c r="H46" s="221"/>
      <c r="I46" s="221"/>
      <c r="J46" s="221"/>
      <c r="K46" s="221"/>
      <c r="L46" s="221"/>
      <c r="M46" s="221"/>
      <c r="N46" s="221"/>
      <c r="O46" s="221"/>
      <c r="P46" s="221"/>
      <c r="Q46" s="221"/>
    </row>
    <row r="47" spans="1:17" ht="30" x14ac:dyDescent="0.25">
      <c r="A47" s="221"/>
      <c r="B47" s="223" t="s">
        <v>33</v>
      </c>
      <c r="C47" s="221"/>
      <c r="D47" s="221"/>
      <c r="E47" s="221"/>
      <c r="F47" s="221"/>
      <c r="G47" s="221"/>
      <c r="H47" s="221"/>
      <c r="I47" s="221"/>
      <c r="J47" s="221"/>
      <c r="K47" s="221"/>
      <c r="L47" s="221"/>
      <c r="M47" s="221"/>
      <c r="N47" s="221"/>
      <c r="O47" s="221"/>
      <c r="P47" s="221"/>
      <c r="Q47" s="221"/>
    </row>
    <row r="48" spans="1:17" x14ac:dyDescent="0.25">
      <c r="A48" s="221"/>
      <c r="B48" s="221"/>
      <c r="C48" s="221"/>
      <c r="D48" s="221"/>
      <c r="E48" s="221"/>
      <c r="F48" s="221"/>
      <c r="G48" s="221"/>
      <c r="H48" s="221"/>
      <c r="I48" s="221"/>
      <c r="J48" s="221"/>
      <c r="K48" s="221"/>
      <c r="L48" s="221"/>
      <c r="M48" s="221"/>
      <c r="N48" s="221"/>
      <c r="O48" s="221"/>
      <c r="P48" s="221"/>
      <c r="Q48" s="221"/>
    </row>
    <row r="49" spans="1:17" x14ac:dyDescent="0.25">
      <c r="A49" s="221"/>
      <c r="B49" s="221" t="s">
        <v>34</v>
      </c>
      <c r="C49" s="221"/>
      <c r="D49" s="221"/>
      <c r="E49" s="221"/>
      <c r="F49" s="221"/>
      <c r="G49" s="221"/>
      <c r="H49" s="221"/>
      <c r="I49" s="221"/>
      <c r="J49" s="221"/>
      <c r="K49" s="221"/>
      <c r="L49" s="221"/>
      <c r="M49" s="221"/>
      <c r="N49" s="221"/>
      <c r="O49" s="221"/>
      <c r="P49" s="221"/>
      <c r="Q49" s="221"/>
    </row>
    <row r="50" spans="1:17" ht="45" x14ac:dyDescent="0.25">
      <c r="A50" s="221"/>
      <c r="B50" s="223" t="s">
        <v>35</v>
      </c>
      <c r="C50" s="221"/>
      <c r="D50" s="221"/>
      <c r="E50" s="221"/>
      <c r="F50" s="221"/>
      <c r="G50" s="221"/>
      <c r="H50" s="221"/>
      <c r="I50" s="221"/>
      <c r="J50" s="221"/>
      <c r="K50" s="221"/>
      <c r="L50" s="221"/>
      <c r="M50" s="221"/>
      <c r="N50" s="221"/>
      <c r="O50" s="221"/>
      <c r="P50" s="221"/>
      <c r="Q50" s="221"/>
    </row>
    <row r="51" spans="1:17" ht="30" x14ac:dyDescent="0.25">
      <c r="A51" s="221"/>
      <c r="B51" s="225" t="s">
        <v>36</v>
      </c>
      <c r="C51" s="221"/>
      <c r="D51" s="221"/>
      <c r="E51" s="221"/>
      <c r="F51" s="221"/>
      <c r="G51" s="221"/>
      <c r="H51" s="221"/>
      <c r="I51" s="221"/>
      <c r="J51" s="221"/>
      <c r="K51" s="221"/>
      <c r="L51" s="221"/>
      <c r="M51" s="221"/>
      <c r="N51" s="221"/>
      <c r="O51" s="221"/>
      <c r="P51" s="221"/>
      <c r="Q51" s="221"/>
    </row>
    <row r="52" spans="1:17" x14ac:dyDescent="0.25">
      <c r="A52" s="221"/>
      <c r="B52" s="225"/>
      <c r="C52" s="221"/>
      <c r="D52" s="221"/>
      <c r="E52" s="221"/>
      <c r="F52" s="221"/>
      <c r="G52" s="221"/>
      <c r="H52" s="221"/>
      <c r="I52" s="221"/>
      <c r="J52" s="221"/>
      <c r="K52" s="221"/>
      <c r="L52" s="221"/>
      <c r="M52" s="221"/>
      <c r="N52" s="221"/>
      <c r="O52" s="221"/>
      <c r="P52" s="221"/>
      <c r="Q52" s="221"/>
    </row>
    <row r="53" spans="1:17" x14ac:dyDescent="0.25">
      <c r="A53" s="222"/>
      <c r="B53" s="225" t="s">
        <v>37</v>
      </c>
      <c r="C53" s="221"/>
      <c r="D53" s="221"/>
      <c r="E53" s="221"/>
      <c r="F53" s="221"/>
      <c r="G53" s="221"/>
      <c r="H53" s="221"/>
      <c r="I53" s="221"/>
      <c r="J53" s="221"/>
      <c r="K53" s="221"/>
      <c r="L53" s="221"/>
      <c r="M53" s="221"/>
      <c r="N53" s="221"/>
      <c r="O53" s="221"/>
      <c r="P53" s="221"/>
      <c r="Q53" s="221"/>
    </row>
    <row r="54" spans="1:17" x14ac:dyDescent="0.25">
      <c r="A54" s="221"/>
      <c r="B54" s="221" t="s">
        <v>38</v>
      </c>
      <c r="C54" s="221"/>
      <c r="D54" s="221"/>
      <c r="E54" s="221"/>
      <c r="F54" s="221"/>
      <c r="G54" s="221"/>
      <c r="H54" s="221"/>
      <c r="I54" s="221"/>
      <c r="J54" s="221"/>
      <c r="K54" s="221"/>
      <c r="L54" s="221"/>
      <c r="M54" s="221"/>
      <c r="N54" s="221"/>
      <c r="O54" s="221"/>
      <c r="P54" s="221"/>
      <c r="Q54" s="221"/>
    </row>
    <row r="55" spans="1:17" ht="60" x14ac:dyDescent="0.25">
      <c r="A55" s="221"/>
      <c r="B55" s="223" t="s">
        <v>39</v>
      </c>
      <c r="C55" s="221"/>
      <c r="D55" s="221"/>
      <c r="E55" s="221"/>
      <c r="F55" s="221"/>
      <c r="G55" s="221"/>
      <c r="H55" s="221"/>
      <c r="I55" s="221"/>
      <c r="J55" s="221"/>
      <c r="K55" s="221"/>
      <c r="L55" s="221"/>
      <c r="M55" s="221"/>
      <c r="N55" s="221"/>
      <c r="O55" s="221"/>
      <c r="P55" s="221"/>
      <c r="Q55" s="221"/>
    </row>
    <row r="56" spans="1:17" x14ac:dyDescent="0.25">
      <c r="A56" s="221"/>
      <c r="B56" s="223"/>
      <c r="C56" s="221"/>
      <c r="D56" s="221"/>
      <c r="E56" s="221"/>
      <c r="F56" s="221"/>
      <c r="G56" s="221"/>
      <c r="H56" s="221"/>
      <c r="I56" s="221"/>
      <c r="J56" s="221"/>
      <c r="K56" s="221"/>
      <c r="L56" s="221"/>
      <c r="M56" s="221"/>
      <c r="N56" s="221"/>
      <c r="O56" s="221"/>
      <c r="P56" s="221"/>
      <c r="Q56" s="221"/>
    </row>
    <row r="57" spans="1:17" x14ac:dyDescent="0.25">
      <c r="A57" s="221"/>
      <c r="B57" s="221" t="s">
        <v>40</v>
      </c>
      <c r="C57" s="221"/>
      <c r="D57" s="221"/>
      <c r="E57" s="221"/>
      <c r="F57" s="221"/>
      <c r="G57" s="221"/>
      <c r="H57" s="221"/>
      <c r="I57" s="221"/>
      <c r="J57" s="221"/>
      <c r="K57" s="221"/>
      <c r="L57" s="221"/>
      <c r="M57" s="221"/>
      <c r="N57" s="221"/>
      <c r="O57" s="221"/>
      <c r="P57" s="221"/>
      <c r="Q57" s="221"/>
    </row>
    <row r="58" spans="1:17" x14ac:dyDescent="0.25">
      <c r="A58" s="221"/>
      <c r="B58" s="221" t="s">
        <v>41</v>
      </c>
      <c r="C58" s="221"/>
      <c r="D58" s="221"/>
      <c r="E58" s="221"/>
      <c r="F58" s="221"/>
      <c r="G58" s="221"/>
      <c r="H58" s="221"/>
      <c r="I58" s="221"/>
      <c r="J58" s="221"/>
      <c r="K58" s="221"/>
      <c r="L58" s="221"/>
      <c r="M58" s="221"/>
      <c r="N58" s="221"/>
      <c r="O58" s="221"/>
      <c r="P58" s="221"/>
      <c r="Q58" s="221"/>
    </row>
    <row r="59" spans="1:17" x14ac:dyDescent="0.25">
      <c r="A59" s="221"/>
      <c r="B59" s="221"/>
      <c r="C59" s="221"/>
      <c r="D59" s="221"/>
      <c r="E59" s="221"/>
      <c r="F59" s="221"/>
      <c r="G59" s="221"/>
      <c r="H59" s="221"/>
      <c r="I59" s="221"/>
      <c r="J59" s="221"/>
      <c r="K59" s="221"/>
      <c r="L59" s="221"/>
      <c r="M59" s="221"/>
      <c r="N59" s="221"/>
      <c r="O59" s="221"/>
      <c r="P59" s="221"/>
      <c r="Q59" s="221"/>
    </row>
    <row r="60" spans="1:17" x14ac:dyDescent="0.25">
      <c r="A60" s="221"/>
      <c r="B60" s="221" t="s">
        <v>42</v>
      </c>
      <c r="C60" s="221"/>
      <c r="D60" s="221"/>
      <c r="E60" s="221"/>
      <c r="F60" s="221"/>
      <c r="G60" s="221"/>
      <c r="H60" s="221"/>
      <c r="I60" s="221"/>
      <c r="J60" s="221"/>
      <c r="K60" s="221"/>
      <c r="L60" s="221"/>
      <c r="M60" s="221"/>
      <c r="N60" s="221"/>
      <c r="O60" s="221"/>
      <c r="P60" s="221"/>
      <c r="Q60" s="221"/>
    </row>
    <row r="61" spans="1:17" ht="30" x14ac:dyDescent="0.25">
      <c r="A61" s="221"/>
      <c r="B61" s="223" t="s">
        <v>43</v>
      </c>
      <c r="C61" s="221"/>
      <c r="D61" s="221"/>
      <c r="E61" s="221"/>
      <c r="F61" s="221"/>
      <c r="G61" s="221"/>
      <c r="H61" s="221"/>
      <c r="I61" s="221"/>
      <c r="J61" s="221"/>
      <c r="K61" s="221"/>
      <c r="L61" s="221"/>
      <c r="M61" s="221"/>
      <c r="N61" s="221"/>
      <c r="O61" s="221"/>
      <c r="P61" s="221"/>
      <c r="Q61" s="221"/>
    </row>
    <row r="62" spans="1:17" x14ac:dyDescent="0.25">
      <c r="A62" s="221"/>
      <c r="B62" s="221"/>
      <c r="C62" s="221"/>
      <c r="D62" s="221"/>
      <c r="E62" s="221"/>
      <c r="F62" s="221"/>
      <c r="G62" s="221"/>
      <c r="H62" s="221"/>
      <c r="I62" s="221"/>
      <c r="J62" s="221"/>
      <c r="K62" s="221"/>
      <c r="L62" s="221"/>
      <c r="M62" s="221"/>
      <c r="N62" s="221"/>
      <c r="O62" s="221"/>
      <c r="P62" s="221"/>
      <c r="Q62" s="221"/>
    </row>
    <row r="63" spans="1:17" x14ac:dyDescent="0.25">
      <c r="A63" s="221"/>
      <c r="B63" s="221"/>
      <c r="C63" s="221"/>
      <c r="D63" s="221"/>
      <c r="E63" s="221"/>
      <c r="F63" s="221"/>
      <c r="G63" s="221"/>
      <c r="H63" s="221"/>
      <c r="I63" s="221"/>
      <c r="J63" s="221"/>
      <c r="K63" s="221"/>
      <c r="L63" s="221"/>
      <c r="M63" s="221"/>
      <c r="N63" s="221"/>
      <c r="O63" s="221"/>
      <c r="P63" s="221"/>
      <c r="Q63" s="221"/>
    </row>
    <row r="64" spans="1:17" x14ac:dyDescent="0.25">
      <c r="A64" s="221"/>
      <c r="B64" s="221"/>
      <c r="C64" s="221"/>
      <c r="D64" s="221"/>
      <c r="E64" s="221"/>
      <c r="F64" s="221"/>
      <c r="G64" s="221"/>
      <c r="H64" s="221"/>
      <c r="I64" s="221"/>
      <c r="J64" s="221"/>
      <c r="K64" s="221"/>
      <c r="L64" s="221"/>
      <c r="M64" s="221"/>
      <c r="N64" s="221"/>
      <c r="O64" s="221"/>
      <c r="P64" s="221"/>
      <c r="Q64" s="221"/>
    </row>
    <row r="65" spans="1:17" x14ac:dyDescent="0.25">
      <c r="A65" s="221"/>
      <c r="B65" s="221"/>
      <c r="C65" s="221"/>
      <c r="D65" s="221"/>
      <c r="E65" s="221"/>
      <c r="F65" s="221"/>
      <c r="G65" s="221"/>
      <c r="H65" s="221"/>
      <c r="I65" s="221"/>
      <c r="J65" s="221"/>
      <c r="K65" s="221"/>
      <c r="L65" s="221"/>
      <c r="M65" s="221"/>
      <c r="N65" s="221"/>
      <c r="O65" s="221"/>
      <c r="P65" s="221"/>
      <c r="Q65" s="221"/>
    </row>
    <row r="66" spans="1:17" x14ac:dyDescent="0.25">
      <c r="A66" s="221"/>
      <c r="B66" s="221"/>
      <c r="C66" s="221"/>
      <c r="D66" s="221"/>
      <c r="E66" s="221"/>
      <c r="F66" s="221"/>
      <c r="G66" s="221"/>
      <c r="H66" s="221"/>
      <c r="I66" s="221"/>
      <c r="J66" s="221"/>
      <c r="K66" s="221"/>
      <c r="L66" s="221"/>
      <c r="M66" s="221"/>
      <c r="N66" s="221"/>
      <c r="O66" s="221"/>
      <c r="P66" s="221"/>
      <c r="Q66" s="221"/>
    </row>
    <row r="67" spans="1:17" x14ac:dyDescent="0.25">
      <c r="A67" s="221"/>
      <c r="B67" s="221"/>
      <c r="C67" s="221"/>
      <c r="D67" s="221"/>
      <c r="E67" s="221"/>
      <c r="F67" s="221"/>
      <c r="G67" s="221"/>
      <c r="H67" s="221"/>
      <c r="I67" s="221"/>
      <c r="J67" s="221"/>
      <c r="K67" s="221"/>
      <c r="L67" s="221"/>
      <c r="M67" s="221"/>
      <c r="N67" s="221"/>
      <c r="O67" s="221"/>
      <c r="P67" s="221"/>
      <c r="Q67" s="221"/>
    </row>
    <row r="68" spans="1:17" x14ac:dyDescent="0.25">
      <c r="A68" s="219"/>
      <c r="B68" s="220" t="s">
        <v>44</v>
      </c>
      <c r="C68" s="219"/>
      <c r="D68" s="219"/>
      <c r="E68" s="219"/>
      <c r="F68" s="219"/>
      <c r="G68" s="219"/>
      <c r="H68" s="219"/>
      <c r="I68" s="219"/>
      <c r="J68" s="219"/>
      <c r="K68" s="219"/>
      <c r="L68" s="219"/>
      <c r="M68" s="219"/>
      <c r="N68" s="219"/>
      <c r="O68" s="219"/>
      <c r="P68" s="219"/>
      <c r="Q68" s="219"/>
    </row>
    <row r="69" spans="1:17" x14ac:dyDescent="0.25">
      <c r="A69" s="221"/>
      <c r="B69" s="221"/>
      <c r="C69" s="221"/>
      <c r="D69" s="221"/>
      <c r="E69" s="221"/>
      <c r="F69" s="221"/>
      <c r="G69" s="221"/>
      <c r="H69" s="221"/>
      <c r="I69" s="221"/>
      <c r="J69" s="221"/>
      <c r="K69" s="221"/>
      <c r="L69" s="221"/>
      <c r="M69" s="221"/>
      <c r="N69" s="221"/>
      <c r="O69" s="221"/>
      <c r="P69" s="221"/>
      <c r="Q69" s="221"/>
    </row>
    <row r="70" spans="1:17" x14ac:dyDescent="0.25">
      <c r="A70" s="221"/>
      <c r="B70" s="222" t="s">
        <v>45</v>
      </c>
      <c r="C70" s="221"/>
      <c r="D70" s="221"/>
      <c r="E70" s="221"/>
      <c r="F70" s="221"/>
      <c r="G70" s="221"/>
      <c r="H70" s="221"/>
      <c r="I70" s="221"/>
      <c r="J70" s="221"/>
      <c r="K70" s="221"/>
      <c r="L70" s="221"/>
      <c r="M70" s="221"/>
      <c r="N70" s="221"/>
      <c r="O70" s="221"/>
      <c r="P70" s="221"/>
      <c r="Q70" s="221"/>
    </row>
    <row r="71" spans="1:17" ht="30" x14ac:dyDescent="0.25">
      <c r="A71" s="221"/>
      <c r="B71" s="224" t="s">
        <v>46</v>
      </c>
      <c r="C71" s="221"/>
      <c r="D71" s="221"/>
      <c r="E71" s="221"/>
      <c r="F71" s="221"/>
      <c r="G71" s="221"/>
      <c r="H71" s="221"/>
      <c r="I71" s="221"/>
      <c r="J71" s="221"/>
      <c r="K71" s="221"/>
      <c r="L71" s="221"/>
      <c r="M71" s="221"/>
      <c r="N71" s="221"/>
      <c r="O71" s="221"/>
      <c r="P71" s="221"/>
      <c r="Q71" s="221"/>
    </row>
    <row r="72" spans="1:17" x14ac:dyDescent="0.25">
      <c r="A72" s="221"/>
      <c r="B72" s="226"/>
      <c r="C72" s="221"/>
      <c r="D72" s="221"/>
      <c r="E72" s="221"/>
      <c r="F72" s="221"/>
      <c r="G72" s="221"/>
      <c r="H72" s="221"/>
      <c r="I72" s="221"/>
      <c r="J72" s="221"/>
      <c r="K72" s="221"/>
      <c r="L72" s="221"/>
      <c r="M72" s="221"/>
      <c r="N72" s="221"/>
      <c r="O72" s="221"/>
      <c r="P72" s="221"/>
      <c r="Q72" s="221"/>
    </row>
    <row r="73" spans="1:17" ht="30" x14ac:dyDescent="0.25">
      <c r="A73" s="221"/>
      <c r="B73" s="224" t="s">
        <v>47</v>
      </c>
      <c r="C73" s="221"/>
      <c r="D73" s="221"/>
      <c r="E73" s="221"/>
      <c r="F73" s="221"/>
      <c r="G73" s="221"/>
      <c r="H73" s="221"/>
      <c r="I73" s="221"/>
      <c r="J73" s="221"/>
      <c r="K73" s="221"/>
      <c r="L73" s="221"/>
      <c r="M73" s="221"/>
      <c r="N73" s="221"/>
      <c r="O73" s="221"/>
      <c r="P73" s="221"/>
      <c r="Q73" s="221"/>
    </row>
    <row r="74" spans="1:17" x14ac:dyDescent="0.25">
      <c r="A74" s="221"/>
      <c r="B74" s="226"/>
      <c r="C74" s="221"/>
      <c r="D74" s="221"/>
      <c r="E74" s="221"/>
      <c r="F74" s="221"/>
      <c r="G74" s="221"/>
      <c r="H74" s="221"/>
      <c r="I74" s="221"/>
      <c r="J74" s="221"/>
      <c r="K74" s="221"/>
      <c r="L74" s="221"/>
      <c r="M74" s="221"/>
      <c r="N74" s="221"/>
      <c r="O74" s="221"/>
      <c r="P74" s="221"/>
      <c r="Q74" s="221"/>
    </row>
    <row r="75" spans="1:17" ht="30" x14ac:dyDescent="0.25">
      <c r="A75" s="221"/>
      <c r="B75" s="224" t="s">
        <v>48</v>
      </c>
      <c r="C75" s="221"/>
      <c r="D75" s="221"/>
      <c r="E75" s="221"/>
      <c r="F75" s="221"/>
      <c r="G75" s="221"/>
      <c r="H75" s="221"/>
      <c r="I75" s="221"/>
      <c r="J75" s="221"/>
      <c r="K75" s="221"/>
      <c r="L75" s="221"/>
      <c r="M75" s="221"/>
      <c r="N75" s="221"/>
      <c r="O75" s="221"/>
      <c r="P75" s="221"/>
      <c r="Q75" s="221"/>
    </row>
    <row r="76" spans="1:17" x14ac:dyDescent="0.25">
      <c r="A76" s="221"/>
      <c r="B76" s="226"/>
      <c r="C76" s="221"/>
      <c r="D76" s="221"/>
      <c r="E76" s="221"/>
      <c r="F76" s="221"/>
      <c r="G76" s="221"/>
      <c r="H76" s="221"/>
      <c r="I76" s="221"/>
      <c r="J76" s="221"/>
      <c r="K76" s="221"/>
      <c r="L76" s="221"/>
      <c r="M76" s="221"/>
      <c r="N76" s="221"/>
      <c r="O76" s="221"/>
      <c r="P76" s="221"/>
      <c r="Q76" s="221"/>
    </row>
    <row r="77" spans="1:17" ht="30" customHeight="1" x14ac:dyDescent="0.25">
      <c r="A77" s="221"/>
      <c r="B77" s="223" t="s">
        <v>49</v>
      </c>
      <c r="C77" s="221"/>
      <c r="D77" s="221"/>
      <c r="E77" s="221"/>
      <c r="F77" s="221"/>
      <c r="G77" s="221"/>
      <c r="H77" s="221"/>
      <c r="I77" s="221"/>
      <c r="J77" s="221"/>
      <c r="K77" s="221"/>
      <c r="L77" s="221"/>
      <c r="M77" s="221"/>
      <c r="N77" s="221"/>
      <c r="O77" s="221"/>
      <c r="P77" s="221"/>
      <c r="Q77" s="221"/>
    </row>
    <row r="78" spans="1:17" x14ac:dyDescent="0.25">
      <c r="A78" s="221"/>
      <c r="B78" s="221"/>
      <c r="C78" s="221"/>
      <c r="D78" s="221"/>
      <c r="E78" s="221"/>
      <c r="F78" s="221"/>
      <c r="G78" s="221"/>
      <c r="H78" s="221"/>
      <c r="I78" s="221"/>
      <c r="J78" s="221"/>
      <c r="K78" s="221"/>
      <c r="L78" s="221"/>
      <c r="M78" s="221"/>
      <c r="N78" s="221"/>
      <c r="O78" s="221"/>
      <c r="P78" s="221"/>
      <c r="Q78" s="221"/>
    </row>
    <row r="79" spans="1:17" x14ac:dyDescent="0.25">
      <c r="A79" s="221"/>
      <c r="B79" s="226" t="s">
        <v>50</v>
      </c>
      <c r="C79" s="221"/>
      <c r="D79" s="221"/>
      <c r="E79" s="221"/>
      <c r="F79" s="221"/>
      <c r="G79" s="221"/>
      <c r="H79" s="221"/>
      <c r="I79" s="221"/>
      <c r="J79" s="221"/>
      <c r="K79" s="221"/>
      <c r="L79" s="221"/>
      <c r="M79" s="221"/>
      <c r="N79" s="221"/>
      <c r="O79" s="221"/>
      <c r="P79" s="221"/>
      <c r="Q79" s="221"/>
    </row>
    <row r="80" spans="1:17" x14ac:dyDescent="0.25">
      <c r="A80" s="221"/>
      <c r="B80" s="226"/>
      <c r="C80" s="221"/>
      <c r="D80" s="221"/>
      <c r="E80" s="221"/>
      <c r="F80" s="221"/>
      <c r="G80" s="221"/>
      <c r="H80" s="221"/>
      <c r="I80" s="221"/>
      <c r="J80" s="221"/>
      <c r="K80" s="221"/>
      <c r="L80" s="221"/>
      <c r="M80" s="221"/>
      <c r="N80" s="221"/>
      <c r="O80" s="221"/>
      <c r="P80" s="221"/>
      <c r="Q80" s="221"/>
    </row>
    <row r="81" spans="1:17" ht="45" x14ac:dyDescent="0.25">
      <c r="A81" s="221"/>
      <c r="B81" s="223" t="s">
        <v>51</v>
      </c>
      <c r="C81" s="221"/>
      <c r="D81" s="221"/>
      <c r="E81" s="221"/>
      <c r="F81" s="221"/>
      <c r="G81" s="221"/>
      <c r="H81" s="221"/>
      <c r="I81" s="221"/>
      <c r="J81" s="221"/>
      <c r="K81" s="221"/>
      <c r="L81" s="221"/>
      <c r="M81" s="221"/>
      <c r="N81" s="221"/>
      <c r="O81" s="221"/>
      <c r="P81" s="221"/>
      <c r="Q81" s="221"/>
    </row>
    <row r="82" spans="1:17" x14ac:dyDescent="0.25">
      <c r="A82" s="221"/>
      <c r="B82" s="221"/>
      <c r="C82" s="221"/>
      <c r="D82" s="221"/>
      <c r="E82" s="221"/>
      <c r="F82" s="221"/>
      <c r="G82" s="221"/>
      <c r="H82" s="221"/>
      <c r="I82" s="221"/>
      <c r="J82" s="221"/>
      <c r="K82" s="221"/>
      <c r="L82" s="221"/>
      <c r="M82" s="221"/>
      <c r="N82" s="221"/>
      <c r="O82" s="221"/>
      <c r="P82" s="221"/>
      <c r="Q82" s="221"/>
    </row>
    <row r="83" spans="1:17" ht="45" x14ac:dyDescent="0.25">
      <c r="A83" s="221"/>
      <c r="B83" s="223" t="s">
        <v>52</v>
      </c>
      <c r="C83" s="221"/>
      <c r="D83" s="221"/>
      <c r="E83" s="221"/>
      <c r="F83" s="221"/>
      <c r="G83" s="221"/>
      <c r="H83" s="221"/>
      <c r="I83" s="221"/>
      <c r="J83" s="221"/>
      <c r="K83" s="221"/>
      <c r="L83" s="221"/>
      <c r="M83" s="221"/>
      <c r="N83" s="221"/>
      <c r="O83" s="221"/>
      <c r="P83" s="221"/>
      <c r="Q83" s="221"/>
    </row>
    <row r="84" spans="1:17" x14ac:dyDescent="0.25">
      <c r="A84" s="221"/>
      <c r="B84" s="221"/>
      <c r="C84" s="221"/>
      <c r="D84" s="221"/>
      <c r="E84" s="221"/>
      <c r="F84" s="221"/>
      <c r="G84" s="221"/>
      <c r="H84" s="221"/>
      <c r="I84" s="221"/>
      <c r="J84" s="221"/>
      <c r="K84" s="221"/>
      <c r="L84" s="221"/>
      <c r="M84" s="221"/>
      <c r="N84" s="221"/>
      <c r="O84" s="221"/>
      <c r="P84" s="221"/>
      <c r="Q84" s="221"/>
    </row>
    <row r="85" spans="1:17" ht="45" x14ac:dyDescent="0.25">
      <c r="A85" s="221"/>
      <c r="B85" s="223" t="s">
        <v>53</v>
      </c>
      <c r="C85" s="221"/>
      <c r="D85" s="221"/>
      <c r="E85" s="221"/>
      <c r="F85" s="221"/>
      <c r="G85" s="221"/>
      <c r="H85" s="221"/>
      <c r="I85" s="221"/>
      <c r="J85" s="221"/>
      <c r="K85" s="221"/>
      <c r="L85" s="221"/>
      <c r="M85" s="221"/>
      <c r="N85" s="221"/>
      <c r="O85" s="221"/>
      <c r="P85" s="221"/>
      <c r="Q85" s="221"/>
    </row>
    <row r="86" spans="1:17" x14ac:dyDescent="0.25">
      <c r="A86" s="221"/>
      <c r="B86" s="221"/>
      <c r="C86" s="221"/>
      <c r="D86" s="221"/>
      <c r="E86" s="221"/>
      <c r="F86" s="221"/>
      <c r="G86" s="221"/>
      <c r="H86" s="221"/>
      <c r="I86" s="221"/>
      <c r="J86" s="221"/>
      <c r="K86" s="221"/>
      <c r="L86" s="221"/>
      <c r="M86" s="221"/>
      <c r="N86" s="221"/>
      <c r="O86" s="221"/>
      <c r="P86" s="221"/>
      <c r="Q86" s="221"/>
    </row>
    <row r="87" spans="1:17" ht="45" x14ac:dyDescent="0.25">
      <c r="A87" s="221"/>
      <c r="B87" s="223" t="s">
        <v>54</v>
      </c>
      <c r="C87" s="221"/>
      <c r="D87" s="221"/>
      <c r="E87" s="221"/>
      <c r="F87" s="221"/>
      <c r="G87" s="221"/>
      <c r="H87" s="221"/>
      <c r="I87" s="221"/>
      <c r="J87" s="221"/>
      <c r="K87" s="221"/>
      <c r="L87" s="221"/>
      <c r="M87" s="221"/>
      <c r="N87" s="221"/>
      <c r="O87" s="221"/>
      <c r="P87" s="221"/>
      <c r="Q87" s="221"/>
    </row>
    <row r="88" spans="1:17" x14ac:dyDescent="0.25">
      <c r="A88" s="221"/>
      <c r="B88" s="221"/>
      <c r="C88" s="221"/>
      <c r="D88" s="221"/>
      <c r="E88" s="221"/>
      <c r="F88" s="221"/>
      <c r="G88" s="221"/>
      <c r="H88" s="221"/>
      <c r="I88" s="221"/>
      <c r="J88" s="221"/>
      <c r="K88" s="221"/>
      <c r="L88" s="221"/>
      <c r="M88" s="221"/>
      <c r="N88" s="221"/>
      <c r="O88" s="221"/>
      <c r="P88" s="221"/>
      <c r="Q88" s="221"/>
    </row>
    <row r="89" spans="1:17" x14ac:dyDescent="0.25">
      <c r="A89" s="219"/>
      <c r="B89" s="220" t="s">
        <v>55</v>
      </c>
      <c r="C89" s="219"/>
      <c r="D89" s="219"/>
      <c r="E89" s="219"/>
      <c r="F89" s="219"/>
      <c r="G89" s="219"/>
      <c r="H89" s="219"/>
      <c r="I89" s="219"/>
      <c r="J89" s="219"/>
      <c r="K89" s="219"/>
      <c r="L89" s="219"/>
      <c r="M89" s="219"/>
      <c r="N89" s="219"/>
      <c r="O89" s="219"/>
      <c r="P89" s="219"/>
      <c r="Q89" s="219"/>
    </row>
    <row r="90" spans="1:17" x14ac:dyDescent="0.25">
      <c r="A90" s="221"/>
      <c r="B90" s="221"/>
      <c r="C90" s="221"/>
      <c r="D90" s="221"/>
      <c r="E90" s="221"/>
      <c r="F90" s="221"/>
      <c r="G90" s="221"/>
      <c r="H90" s="221"/>
      <c r="I90" s="221"/>
      <c r="J90" s="221"/>
      <c r="K90" s="221"/>
      <c r="L90" s="221"/>
      <c r="M90" s="221"/>
      <c r="N90" s="221"/>
      <c r="O90" s="221"/>
      <c r="P90" s="221"/>
      <c r="Q90" s="221"/>
    </row>
    <row r="91" spans="1:17" ht="45" x14ac:dyDescent="0.25">
      <c r="A91" s="221"/>
      <c r="B91" s="223" t="s">
        <v>56</v>
      </c>
      <c r="C91" s="221"/>
      <c r="D91" s="221"/>
      <c r="E91" s="221"/>
      <c r="F91" s="221"/>
      <c r="G91" s="221"/>
      <c r="H91" s="221"/>
      <c r="I91" s="221"/>
      <c r="J91" s="221"/>
      <c r="K91" s="221"/>
      <c r="L91" s="221"/>
      <c r="M91" s="221"/>
      <c r="N91" s="221"/>
      <c r="O91" s="221"/>
      <c r="P91" s="221"/>
      <c r="Q91" s="221"/>
    </row>
    <row r="92" spans="1:17" ht="30" x14ac:dyDescent="0.25">
      <c r="A92" s="221"/>
      <c r="B92" s="223" t="s">
        <v>57</v>
      </c>
      <c r="C92" s="221"/>
      <c r="D92" s="221"/>
      <c r="E92" s="221"/>
      <c r="F92" s="221"/>
      <c r="G92" s="221"/>
      <c r="H92" s="221"/>
      <c r="I92" s="221"/>
      <c r="J92" s="221"/>
      <c r="K92" s="221"/>
      <c r="L92" s="221"/>
      <c r="M92" s="221"/>
      <c r="N92" s="221"/>
      <c r="O92" s="221"/>
      <c r="P92" s="221"/>
      <c r="Q92" s="221"/>
    </row>
    <row r="93" spans="1:17" x14ac:dyDescent="0.25">
      <c r="A93" s="221"/>
      <c r="B93" s="221"/>
      <c r="C93" s="221"/>
      <c r="D93" s="221"/>
      <c r="E93" s="221"/>
      <c r="F93" s="221"/>
      <c r="G93" s="221"/>
      <c r="H93" s="221"/>
      <c r="I93" s="221"/>
      <c r="J93" s="221"/>
      <c r="K93" s="221"/>
      <c r="L93" s="221"/>
      <c r="M93" s="221"/>
      <c r="N93" s="221"/>
      <c r="O93" s="221"/>
      <c r="P93" s="221"/>
      <c r="Q93" s="221"/>
    </row>
    <row r="94" spans="1:17" x14ac:dyDescent="0.25">
      <c r="A94" s="221"/>
      <c r="B94" s="221"/>
      <c r="C94" s="221"/>
      <c r="D94" s="221"/>
      <c r="E94" s="221"/>
      <c r="F94" s="221"/>
      <c r="G94" s="221"/>
      <c r="H94" s="221"/>
      <c r="I94" s="221"/>
      <c r="J94" s="221"/>
      <c r="K94" s="221"/>
      <c r="L94" s="221"/>
      <c r="M94" s="221"/>
      <c r="N94" s="221"/>
      <c r="O94" s="221"/>
      <c r="P94" s="221"/>
      <c r="Q94" s="221"/>
    </row>
    <row r="95" spans="1:17" x14ac:dyDescent="0.25">
      <c r="A95" s="221"/>
      <c r="B95" s="221"/>
      <c r="C95" s="221"/>
      <c r="D95" s="221"/>
      <c r="E95" s="221"/>
      <c r="F95" s="221"/>
      <c r="G95" s="221"/>
      <c r="H95" s="221"/>
      <c r="I95" s="221"/>
      <c r="J95" s="221"/>
      <c r="K95" s="221"/>
      <c r="L95" s="221"/>
      <c r="M95" s="221"/>
      <c r="N95" s="221"/>
      <c r="O95" s="221"/>
      <c r="P95" s="221"/>
      <c r="Q95" s="221"/>
    </row>
    <row r="96" spans="1:17" x14ac:dyDescent="0.25">
      <c r="A96" s="221"/>
      <c r="B96" s="221"/>
      <c r="C96" s="221"/>
      <c r="D96" s="221"/>
      <c r="E96" s="221"/>
      <c r="F96" s="221"/>
      <c r="G96" s="221"/>
      <c r="H96" s="221"/>
      <c r="I96" s="221"/>
      <c r="J96" s="221"/>
      <c r="K96" s="221"/>
      <c r="L96" s="221"/>
      <c r="M96" s="221"/>
      <c r="N96" s="221"/>
      <c r="O96" s="221"/>
      <c r="P96" s="221"/>
      <c r="Q96" s="221"/>
    </row>
    <row r="97" spans="1:17" x14ac:dyDescent="0.25">
      <c r="A97" s="221"/>
      <c r="B97" s="221"/>
      <c r="C97" s="221"/>
      <c r="D97" s="221"/>
      <c r="E97" s="221"/>
      <c r="F97" s="221"/>
      <c r="G97" s="221"/>
      <c r="H97" s="221"/>
      <c r="I97" s="221"/>
      <c r="J97" s="221"/>
      <c r="K97" s="221"/>
      <c r="L97" s="221"/>
      <c r="M97" s="221"/>
      <c r="N97" s="221"/>
      <c r="O97" s="221"/>
      <c r="P97" s="221"/>
      <c r="Q97" s="221"/>
    </row>
    <row r="98" spans="1:17" x14ac:dyDescent="0.25">
      <c r="A98" s="221"/>
      <c r="B98" s="221"/>
      <c r="C98" s="221"/>
      <c r="D98" s="221"/>
      <c r="E98" s="221"/>
      <c r="F98" s="221"/>
      <c r="G98" s="221"/>
      <c r="H98" s="221"/>
      <c r="I98" s="221"/>
      <c r="J98" s="221"/>
      <c r="K98" s="221"/>
      <c r="L98" s="221"/>
      <c r="M98" s="221"/>
      <c r="N98" s="221"/>
      <c r="O98" s="221"/>
      <c r="P98" s="221"/>
      <c r="Q98" s="221"/>
    </row>
    <row r="99" spans="1:17" x14ac:dyDescent="0.25">
      <c r="A99" s="221"/>
      <c r="B99" s="221"/>
      <c r="C99" s="221"/>
      <c r="D99" s="221"/>
      <c r="E99" s="221"/>
      <c r="F99" s="221"/>
      <c r="G99" s="221"/>
      <c r="H99" s="221"/>
      <c r="I99" s="221"/>
      <c r="J99" s="221"/>
      <c r="K99" s="221"/>
      <c r="L99" s="221"/>
      <c r="M99" s="221"/>
      <c r="N99" s="221"/>
      <c r="O99" s="221"/>
      <c r="P99" s="221"/>
      <c r="Q99" s="221"/>
    </row>
    <row r="100" spans="1:17" x14ac:dyDescent="0.25">
      <c r="A100" s="221"/>
      <c r="B100" s="221"/>
      <c r="C100" s="221"/>
      <c r="D100" s="221"/>
      <c r="E100" s="221"/>
      <c r="F100" s="221"/>
      <c r="G100" s="221"/>
      <c r="H100" s="221"/>
      <c r="I100" s="221"/>
      <c r="J100" s="221"/>
      <c r="K100" s="221"/>
      <c r="L100" s="221"/>
      <c r="M100" s="221"/>
      <c r="N100" s="221"/>
      <c r="O100" s="221"/>
      <c r="P100" s="221"/>
      <c r="Q100" s="221"/>
    </row>
    <row r="101" spans="1:17" x14ac:dyDescent="0.25">
      <c r="A101" s="221"/>
      <c r="B101" s="221"/>
      <c r="C101" s="221"/>
      <c r="D101" s="221"/>
      <c r="E101" s="221"/>
      <c r="F101" s="221"/>
      <c r="G101" s="221"/>
      <c r="H101" s="221"/>
      <c r="I101" s="221"/>
      <c r="J101" s="221"/>
      <c r="K101" s="221"/>
      <c r="L101" s="221"/>
      <c r="M101" s="221"/>
      <c r="N101" s="221"/>
      <c r="O101" s="221"/>
      <c r="P101" s="221"/>
      <c r="Q101" s="221"/>
    </row>
    <row r="102" spans="1:17" x14ac:dyDescent="0.25">
      <c r="A102" s="221"/>
      <c r="B102" s="221"/>
      <c r="C102" s="221"/>
      <c r="D102" s="221"/>
      <c r="E102" s="221"/>
      <c r="F102" s="221"/>
      <c r="G102" s="221"/>
      <c r="H102" s="221"/>
      <c r="I102" s="221"/>
      <c r="J102" s="221"/>
      <c r="K102" s="221"/>
      <c r="L102" s="221"/>
      <c r="M102" s="221"/>
      <c r="N102" s="221"/>
      <c r="O102" s="221"/>
      <c r="P102" s="221"/>
      <c r="Q102" s="221"/>
    </row>
    <row r="103" spans="1:17" x14ac:dyDescent="0.25">
      <c r="A103" s="221"/>
      <c r="B103" s="221"/>
      <c r="C103" s="221"/>
      <c r="D103" s="221"/>
      <c r="E103" s="221"/>
      <c r="F103" s="221"/>
      <c r="G103" s="221"/>
      <c r="H103" s="221"/>
      <c r="I103" s="221"/>
      <c r="J103" s="221"/>
      <c r="K103" s="221"/>
      <c r="L103" s="221"/>
      <c r="M103" s="221"/>
      <c r="N103" s="221"/>
      <c r="O103" s="221"/>
      <c r="P103" s="221"/>
      <c r="Q103" s="221"/>
    </row>
    <row r="104" spans="1:17" x14ac:dyDescent="0.25">
      <c r="A104" s="221"/>
      <c r="B104" s="221"/>
      <c r="C104" s="221"/>
      <c r="D104" s="221"/>
      <c r="E104" s="221"/>
      <c r="F104" s="221"/>
      <c r="G104" s="221"/>
      <c r="H104" s="221"/>
      <c r="I104" s="221"/>
      <c r="J104" s="221"/>
      <c r="K104" s="221"/>
      <c r="L104" s="221"/>
      <c r="M104" s="221"/>
      <c r="N104" s="221"/>
      <c r="O104" s="221"/>
      <c r="P104" s="221"/>
      <c r="Q104" s="221"/>
    </row>
    <row r="105" spans="1:17" x14ac:dyDescent="0.25">
      <c r="A105" s="221"/>
      <c r="B105" s="221"/>
      <c r="C105" s="221"/>
      <c r="D105" s="221"/>
      <c r="E105" s="221"/>
      <c r="F105" s="221"/>
      <c r="G105" s="221"/>
      <c r="H105" s="221"/>
      <c r="I105" s="221"/>
      <c r="J105" s="221"/>
      <c r="K105" s="221"/>
      <c r="L105" s="221"/>
      <c r="M105" s="221"/>
      <c r="N105" s="221"/>
      <c r="O105" s="221"/>
      <c r="P105" s="221"/>
      <c r="Q105" s="221"/>
    </row>
    <row r="106" spans="1:17" x14ac:dyDescent="0.25">
      <c r="A106" s="221"/>
      <c r="B106" s="221" t="s">
        <v>58</v>
      </c>
      <c r="C106" s="221"/>
      <c r="D106" s="221"/>
      <c r="E106" s="221"/>
      <c r="F106" s="221"/>
      <c r="G106" s="221"/>
      <c r="H106" s="221"/>
      <c r="I106" s="221"/>
      <c r="J106" s="221"/>
      <c r="K106" s="221"/>
      <c r="L106" s="221"/>
      <c r="M106" s="221"/>
      <c r="N106" s="221"/>
      <c r="O106" s="221"/>
      <c r="P106" s="221"/>
      <c r="Q106" s="221"/>
    </row>
    <row r="107" spans="1:17" x14ac:dyDescent="0.25">
      <c r="A107" s="221"/>
      <c r="B107" s="221" t="s">
        <v>59</v>
      </c>
      <c r="C107" s="221"/>
      <c r="D107" s="221"/>
      <c r="E107" s="221"/>
      <c r="F107" s="221"/>
      <c r="G107" s="221"/>
      <c r="H107" s="221"/>
      <c r="I107" s="221"/>
      <c r="J107" s="221"/>
      <c r="K107" s="221"/>
      <c r="L107" s="221"/>
      <c r="M107" s="221"/>
      <c r="N107" s="221"/>
      <c r="O107" s="221"/>
      <c r="P107" s="221"/>
      <c r="Q107" s="221"/>
    </row>
    <row r="108" spans="1:17" x14ac:dyDescent="0.25">
      <c r="A108" s="221"/>
      <c r="B108" s="221" t="s">
        <v>60</v>
      </c>
      <c r="C108" s="221"/>
      <c r="D108" s="221"/>
      <c r="E108" s="221"/>
      <c r="F108" s="221"/>
      <c r="G108" s="221"/>
      <c r="H108" s="221"/>
      <c r="I108" s="221"/>
      <c r="J108" s="221"/>
      <c r="K108" s="221"/>
      <c r="L108" s="221"/>
      <c r="M108" s="221"/>
      <c r="N108" s="221"/>
      <c r="O108" s="221"/>
      <c r="P108" s="221"/>
      <c r="Q108" s="221"/>
    </row>
    <row r="109" spans="1:17" x14ac:dyDescent="0.25">
      <c r="A109" s="221"/>
      <c r="B109" s="221" t="s">
        <v>61</v>
      </c>
      <c r="C109" s="221"/>
      <c r="D109" s="221"/>
      <c r="E109" s="221"/>
      <c r="F109" s="221"/>
      <c r="G109" s="221"/>
      <c r="H109" s="221"/>
      <c r="I109" s="221"/>
      <c r="J109" s="221"/>
      <c r="K109" s="221"/>
      <c r="L109" s="221"/>
      <c r="M109" s="221"/>
      <c r="N109" s="221"/>
      <c r="O109" s="221"/>
      <c r="P109" s="221"/>
      <c r="Q109" s="221"/>
    </row>
    <row r="110" spans="1:17" x14ac:dyDescent="0.25">
      <c r="A110" s="221"/>
      <c r="B110" s="221" t="s">
        <v>62</v>
      </c>
      <c r="C110" s="221"/>
      <c r="D110" s="221"/>
      <c r="E110" s="221"/>
      <c r="F110" s="221"/>
      <c r="G110" s="221"/>
      <c r="H110" s="221"/>
      <c r="I110" s="221"/>
      <c r="J110" s="221"/>
      <c r="K110" s="221"/>
      <c r="L110" s="221"/>
      <c r="M110" s="221"/>
      <c r="N110" s="221"/>
      <c r="O110" s="221"/>
      <c r="P110" s="221"/>
      <c r="Q110" s="221"/>
    </row>
    <row r="111" spans="1:17" x14ac:dyDescent="0.25">
      <c r="A111" s="221"/>
      <c r="B111" s="221"/>
      <c r="C111" s="221"/>
      <c r="D111" s="221"/>
      <c r="E111" s="221"/>
      <c r="F111" s="221"/>
      <c r="G111" s="221"/>
      <c r="H111" s="221"/>
      <c r="I111" s="221"/>
      <c r="J111" s="221"/>
      <c r="K111" s="221"/>
      <c r="L111" s="221"/>
      <c r="M111" s="221"/>
      <c r="N111" s="221"/>
      <c r="O111" s="221"/>
      <c r="P111" s="221"/>
      <c r="Q111" s="221"/>
    </row>
    <row r="112" spans="1:17" x14ac:dyDescent="0.25">
      <c r="A112" s="221"/>
      <c r="B112" s="221"/>
      <c r="C112" s="221"/>
      <c r="D112" s="221"/>
      <c r="E112" s="221"/>
      <c r="F112" s="221"/>
      <c r="G112" s="221"/>
      <c r="H112" s="221"/>
      <c r="I112" s="221"/>
      <c r="J112" s="221"/>
      <c r="K112" s="221"/>
      <c r="L112" s="221"/>
      <c r="M112" s="221"/>
      <c r="N112" s="221"/>
      <c r="O112" s="221"/>
      <c r="P112" s="221"/>
      <c r="Q112" s="221"/>
    </row>
    <row r="113" spans="1:17" x14ac:dyDescent="0.25">
      <c r="A113" s="221"/>
      <c r="B113" s="221"/>
      <c r="C113" s="221"/>
      <c r="D113" s="221"/>
      <c r="E113" s="221"/>
      <c r="F113" s="221"/>
      <c r="G113" s="221"/>
      <c r="H113" s="221"/>
      <c r="I113" s="221"/>
      <c r="J113" s="221"/>
      <c r="K113" s="221"/>
      <c r="L113" s="221"/>
      <c r="M113" s="221"/>
      <c r="N113" s="221"/>
      <c r="O113" s="221"/>
      <c r="P113" s="221"/>
      <c r="Q113" s="221"/>
    </row>
    <row r="114" spans="1:17" x14ac:dyDescent="0.25">
      <c r="A114" s="221"/>
      <c r="B114" s="221"/>
      <c r="C114" s="221"/>
      <c r="D114" s="221"/>
      <c r="E114" s="221"/>
      <c r="F114" s="221"/>
      <c r="G114" s="221"/>
      <c r="H114" s="221"/>
      <c r="I114" s="221"/>
      <c r="J114" s="221"/>
      <c r="K114" s="221"/>
      <c r="L114" s="221"/>
      <c r="M114" s="221"/>
      <c r="N114" s="221"/>
      <c r="O114" s="221"/>
      <c r="P114" s="221"/>
      <c r="Q114" s="221"/>
    </row>
    <row r="115" spans="1:17" x14ac:dyDescent="0.25">
      <c r="A115" s="221"/>
      <c r="B115" s="221"/>
      <c r="C115" s="221"/>
      <c r="D115" s="221"/>
      <c r="E115" s="221"/>
      <c r="F115" s="221"/>
      <c r="G115" s="221"/>
      <c r="H115" s="221"/>
      <c r="I115" s="221"/>
      <c r="J115" s="221"/>
      <c r="K115" s="221"/>
      <c r="L115" s="221"/>
      <c r="M115" s="221"/>
      <c r="N115" s="221"/>
      <c r="O115" s="221"/>
      <c r="P115" s="221"/>
      <c r="Q115" s="221"/>
    </row>
    <row r="116" spans="1:17" x14ac:dyDescent="0.25">
      <c r="A116" s="221"/>
      <c r="B116" s="221"/>
      <c r="C116" s="221"/>
      <c r="D116" s="221"/>
      <c r="E116" s="221"/>
      <c r="F116" s="221"/>
      <c r="G116" s="221"/>
      <c r="H116" s="221"/>
      <c r="I116" s="221"/>
      <c r="J116" s="221"/>
      <c r="K116" s="221"/>
      <c r="L116" s="221"/>
      <c r="M116" s="221"/>
      <c r="N116" s="221"/>
      <c r="O116" s="221"/>
      <c r="P116" s="221"/>
      <c r="Q116" s="221"/>
    </row>
    <row r="117" spans="1:17" x14ac:dyDescent="0.25">
      <c r="A117" s="221"/>
      <c r="B117" s="221"/>
      <c r="C117" s="221"/>
      <c r="D117" s="221"/>
      <c r="E117" s="221"/>
      <c r="F117" s="221"/>
      <c r="G117" s="221"/>
      <c r="H117" s="221"/>
      <c r="I117" s="221"/>
      <c r="J117" s="221"/>
      <c r="K117" s="221"/>
      <c r="L117" s="221"/>
      <c r="M117" s="221"/>
      <c r="N117" s="221"/>
      <c r="O117" s="221"/>
      <c r="P117" s="221"/>
      <c r="Q117" s="221"/>
    </row>
    <row r="118" spans="1:17" x14ac:dyDescent="0.25">
      <c r="A118" s="221"/>
      <c r="B118" s="221"/>
      <c r="C118" s="221"/>
      <c r="D118" s="221"/>
      <c r="E118" s="221"/>
      <c r="F118" s="221"/>
      <c r="G118" s="221"/>
      <c r="H118" s="221"/>
      <c r="I118" s="221"/>
      <c r="J118" s="221"/>
      <c r="K118" s="221"/>
      <c r="L118" s="221"/>
      <c r="M118" s="221"/>
      <c r="N118" s="221"/>
      <c r="O118" s="221"/>
      <c r="P118" s="221"/>
      <c r="Q118" s="221"/>
    </row>
    <row r="119" spans="1:17" x14ac:dyDescent="0.25">
      <c r="A119" s="221"/>
      <c r="B119" s="221"/>
      <c r="C119" s="221"/>
      <c r="D119" s="221"/>
      <c r="E119" s="221"/>
      <c r="F119" s="221"/>
      <c r="G119" s="221"/>
      <c r="H119" s="221"/>
      <c r="I119" s="221"/>
      <c r="J119" s="221"/>
      <c r="K119" s="221"/>
      <c r="L119" s="221"/>
      <c r="M119" s="221"/>
      <c r="N119" s="221"/>
      <c r="O119" s="221"/>
      <c r="P119" s="221"/>
      <c r="Q119" s="221"/>
    </row>
    <row r="120" spans="1:17" x14ac:dyDescent="0.25">
      <c r="A120" s="221"/>
      <c r="B120" s="221"/>
      <c r="C120" s="221"/>
      <c r="D120" s="221"/>
      <c r="E120" s="221"/>
      <c r="F120" s="221"/>
      <c r="G120" s="221"/>
      <c r="H120" s="221"/>
      <c r="I120" s="221"/>
      <c r="J120" s="221"/>
      <c r="K120" s="221"/>
      <c r="L120" s="221"/>
      <c r="M120" s="221"/>
      <c r="N120" s="221"/>
      <c r="O120" s="221"/>
      <c r="P120" s="221"/>
      <c r="Q120" s="221"/>
    </row>
    <row r="121" spans="1:17" x14ac:dyDescent="0.25">
      <c r="A121" s="221"/>
      <c r="B121" s="221"/>
      <c r="C121" s="221"/>
      <c r="D121" s="221"/>
      <c r="E121" s="221"/>
      <c r="F121" s="221"/>
      <c r="G121" s="221"/>
      <c r="H121" s="221"/>
      <c r="I121" s="221"/>
      <c r="J121" s="221"/>
      <c r="K121" s="221"/>
      <c r="L121" s="221"/>
      <c r="M121" s="221"/>
      <c r="N121" s="221"/>
      <c r="O121" s="221"/>
      <c r="P121" s="221"/>
      <c r="Q121" s="221"/>
    </row>
    <row r="122" spans="1:17" x14ac:dyDescent="0.25">
      <c r="A122" s="221"/>
      <c r="B122" s="221"/>
      <c r="C122" s="221"/>
      <c r="D122" s="221"/>
      <c r="E122" s="221"/>
      <c r="F122" s="221"/>
      <c r="G122" s="221"/>
      <c r="H122" s="221"/>
      <c r="I122" s="221"/>
      <c r="J122" s="221"/>
      <c r="K122" s="221"/>
      <c r="L122" s="221"/>
      <c r="M122" s="221"/>
      <c r="N122" s="221"/>
      <c r="O122" s="221"/>
      <c r="P122" s="221"/>
      <c r="Q122" s="221"/>
    </row>
    <row r="123" spans="1:17" x14ac:dyDescent="0.25">
      <c r="A123" s="221"/>
      <c r="B123" s="221"/>
      <c r="C123" s="221"/>
      <c r="D123" s="221"/>
      <c r="E123" s="221"/>
      <c r="F123" s="221"/>
      <c r="G123" s="221"/>
      <c r="H123" s="221"/>
      <c r="I123" s="221"/>
      <c r="J123" s="221"/>
      <c r="K123" s="221"/>
      <c r="L123" s="221"/>
      <c r="M123" s="221"/>
      <c r="N123" s="221"/>
      <c r="O123" s="221"/>
      <c r="P123" s="221"/>
      <c r="Q123" s="221"/>
    </row>
    <row r="124" spans="1:17" x14ac:dyDescent="0.25">
      <c r="A124" s="221"/>
      <c r="B124" s="221"/>
      <c r="C124" s="221"/>
      <c r="D124" s="221"/>
      <c r="E124" s="221"/>
      <c r="F124" s="221"/>
      <c r="G124" s="221"/>
      <c r="H124" s="221"/>
      <c r="I124" s="221"/>
      <c r="J124" s="221"/>
      <c r="K124" s="221"/>
      <c r="L124" s="221"/>
      <c r="M124" s="221"/>
      <c r="N124" s="221"/>
      <c r="O124" s="221"/>
      <c r="P124" s="221"/>
      <c r="Q124" s="221"/>
    </row>
    <row r="125" spans="1:17" x14ac:dyDescent="0.25">
      <c r="A125" s="221"/>
      <c r="B125" s="221"/>
      <c r="C125" s="221"/>
      <c r="D125" s="221"/>
      <c r="E125" s="221"/>
      <c r="F125" s="221"/>
      <c r="G125" s="221"/>
      <c r="H125" s="221"/>
      <c r="I125" s="221"/>
      <c r="J125" s="221"/>
      <c r="K125" s="221"/>
      <c r="L125" s="221"/>
      <c r="M125" s="221"/>
      <c r="N125" s="221"/>
      <c r="O125" s="221"/>
      <c r="P125" s="221"/>
      <c r="Q125" s="221"/>
    </row>
    <row r="126" spans="1:17" x14ac:dyDescent="0.25">
      <c r="A126" s="221"/>
      <c r="B126" s="221"/>
      <c r="C126" s="221"/>
      <c r="D126" s="221"/>
      <c r="E126" s="221"/>
      <c r="F126" s="221"/>
      <c r="G126" s="221"/>
      <c r="H126" s="221"/>
      <c r="I126" s="221"/>
      <c r="J126" s="221"/>
      <c r="K126" s="221"/>
      <c r="L126" s="221"/>
      <c r="M126" s="221"/>
      <c r="N126" s="221"/>
      <c r="O126" s="221"/>
      <c r="P126" s="221"/>
      <c r="Q126" s="221"/>
    </row>
    <row r="127" spans="1:17" x14ac:dyDescent="0.25">
      <c r="A127" s="221"/>
      <c r="B127" s="221"/>
      <c r="C127" s="221"/>
      <c r="D127" s="221"/>
      <c r="E127" s="221"/>
      <c r="F127" s="221"/>
      <c r="G127" s="221"/>
      <c r="H127" s="221"/>
      <c r="I127" s="221"/>
      <c r="J127" s="221"/>
      <c r="K127" s="221"/>
      <c r="L127" s="221"/>
      <c r="M127" s="221"/>
      <c r="N127" s="221"/>
      <c r="O127" s="221"/>
      <c r="P127" s="221"/>
      <c r="Q127" s="221"/>
    </row>
    <row r="128" spans="1:17" x14ac:dyDescent="0.25">
      <c r="A128" s="221"/>
      <c r="B128" s="221"/>
      <c r="C128" s="221"/>
      <c r="D128" s="221"/>
      <c r="E128" s="221"/>
      <c r="F128" s="221"/>
      <c r="G128" s="221"/>
      <c r="H128" s="221"/>
      <c r="I128" s="221"/>
      <c r="J128" s="221"/>
      <c r="K128" s="221"/>
      <c r="L128" s="221"/>
      <c r="M128" s="221"/>
      <c r="N128" s="221"/>
      <c r="O128" s="221"/>
      <c r="P128" s="221"/>
      <c r="Q128" s="221"/>
    </row>
    <row r="129" spans="1:17" x14ac:dyDescent="0.25">
      <c r="A129" s="221"/>
      <c r="B129" s="221"/>
      <c r="C129" s="221"/>
      <c r="D129" s="221"/>
      <c r="E129" s="221"/>
      <c r="F129" s="221"/>
      <c r="G129" s="221"/>
      <c r="H129" s="221"/>
      <c r="I129" s="221"/>
      <c r="J129" s="221"/>
      <c r="K129" s="221"/>
      <c r="L129" s="221"/>
      <c r="M129" s="221"/>
      <c r="N129" s="221"/>
      <c r="O129" s="221"/>
      <c r="P129" s="221"/>
      <c r="Q129" s="221"/>
    </row>
    <row r="130" spans="1:17" x14ac:dyDescent="0.25">
      <c r="A130" s="221"/>
      <c r="B130" s="221"/>
      <c r="C130" s="221"/>
      <c r="D130" s="221"/>
      <c r="E130" s="221"/>
      <c r="F130" s="221"/>
      <c r="G130" s="221"/>
      <c r="H130" s="221"/>
      <c r="I130" s="221"/>
      <c r="J130" s="221"/>
      <c r="K130" s="221"/>
      <c r="L130" s="221"/>
      <c r="M130" s="221"/>
      <c r="N130" s="221"/>
      <c r="O130" s="221"/>
      <c r="P130" s="221"/>
      <c r="Q130" s="221"/>
    </row>
    <row r="131" spans="1:17" x14ac:dyDescent="0.25">
      <c r="A131" s="221"/>
      <c r="B131" s="221"/>
      <c r="C131" s="221"/>
      <c r="D131" s="221"/>
      <c r="E131" s="221"/>
      <c r="F131" s="221"/>
      <c r="G131" s="221"/>
      <c r="H131" s="221"/>
      <c r="I131" s="221"/>
      <c r="J131" s="221"/>
      <c r="K131" s="221"/>
      <c r="L131" s="221"/>
      <c r="M131" s="221"/>
      <c r="N131" s="221"/>
      <c r="O131" s="221"/>
      <c r="P131" s="221"/>
      <c r="Q131" s="221"/>
    </row>
    <row r="132" spans="1:17" x14ac:dyDescent="0.25">
      <c r="A132" s="221"/>
      <c r="B132" s="221"/>
      <c r="C132" s="221"/>
      <c r="D132" s="221"/>
      <c r="E132" s="221"/>
      <c r="F132" s="221"/>
      <c r="G132" s="221"/>
      <c r="H132" s="221"/>
      <c r="I132" s="221"/>
      <c r="J132" s="221"/>
      <c r="K132" s="221"/>
      <c r="L132" s="221"/>
      <c r="M132" s="221"/>
      <c r="N132" s="221"/>
      <c r="O132" s="221"/>
      <c r="P132" s="221"/>
      <c r="Q132" s="221"/>
    </row>
    <row r="133" spans="1:17" x14ac:dyDescent="0.25">
      <c r="A133" s="221"/>
      <c r="B133" s="221"/>
      <c r="C133" s="221"/>
      <c r="D133" s="221"/>
      <c r="E133" s="221"/>
      <c r="F133" s="221"/>
      <c r="G133" s="221"/>
      <c r="H133" s="221"/>
      <c r="I133" s="221"/>
      <c r="J133" s="221"/>
      <c r="K133" s="221"/>
      <c r="L133" s="221"/>
      <c r="M133" s="221"/>
      <c r="N133" s="221"/>
      <c r="O133" s="221"/>
      <c r="P133" s="221"/>
      <c r="Q133" s="221"/>
    </row>
    <row r="134" spans="1:17" x14ac:dyDescent="0.25">
      <c r="A134" s="221"/>
      <c r="B134" s="221"/>
      <c r="C134" s="221"/>
      <c r="D134" s="221"/>
      <c r="E134" s="221"/>
      <c r="F134" s="221"/>
      <c r="G134" s="221"/>
      <c r="H134" s="221"/>
      <c r="I134" s="221"/>
      <c r="J134" s="221"/>
      <c r="K134" s="221"/>
      <c r="L134" s="221"/>
      <c r="M134" s="221"/>
      <c r="N134" s="221"/>
      <c r="O134" s="221"/>
      <c r="P134" s="221"/>
      <c r="Q134" s="221"/>
    </row>
    <row r="135" spans="1:17" x14ac:dyDescent="0.25">
      <c r="A135" s="221"/>
      <c r="B135" s="221" t="s">
        <v>63</v>
      </c>
      <c r="C135" s="221"/>
      <c r="D135" s="221"/>
      <c r="E135" s="221"/>
      <c r="F135" s="221"/>
      <c r="G135" s="221"/>
      <c r="H135" s="221"/>
      <c r="I135" s="221"/>
      <c r="J135" s="221"/>
      <c r="K135" s="221"/>
      <c r="L135" s="221"/>
      <c r="M135" s="221"/>
      <c r="N135" s="221"/>
      <c r="O135" s="221"/>
      <c r="P135" s="221"/>
      <c r="Q135" s="221"/>
    </row>
    <row r="136" spans="1:17" x14ac:dyDescent="0.25">
      <c r="A136" s="221"/>
      <c r="B136" s="221" t="s">
        <v>64</v>
      </c>
      <c r="C136" s="221"/>
      <c r="D136" s="221"/>
      <c r="E136" s="221"/>
      <c r="F136" s="221"/>
      <c r="G136" s="221"/>
      <c r="H136" s="221"/>
      <c r="I136" s="221"/>
      <c r="J136" s="221"/>
      <c r="K136" s="221"/>
      <c r="L136" s="221"/>
      <c r="M136" s="221"/>
      <c r="N136" s="221"/>
      <c r="O136" s="221"/>
      <c r="P136" s="221"/>
      <c r="Q136" s="221"/>
    </row>
    <row r="137" spans="1:17" x14ac:dyDescent="0.25">
      <c r="A137" s="221"/>
      <c r="B137" s="221"/>
      <c r="C137" s="221"/>
      <c r="D137" s="221"/>
      <c r="E137" s="221"/>
      <c r="F137" s="221"/>
      <c r="G137" s="221"/>
      <c r="H137" s="221"/>
      <c r="I137" s="221"/>
      <c r="J137" s="221"/>
      <c r="K137" s="221"/>
      <c r="L137" s="221"/>
      <c r="M137" s="221"/>
      <c r="N137" s="221"/>
      <c r="O137" s="221"/>
      <c r="P137" s="221"/>
      <c r="Q137" s="221"/>
    </row>
    <row r="138" spans="1:17" x14ac:dyDescent="0.25">
      <c r="A138" s="221"/>
      <c r="B138" s="221"/>
      <c r="C138" s="221"/>
      <c r="D138" s="221"/>
      <c r="E138" s="221"/>
      <c r="F138" s="221"/>
      <c r="G138" s="221"/>
      <c r="H138" s="221"/>
      <c r="I138" s="221"/>
      <c r="J138" s="221"/>
      <c r="K138" s="221"/>
      <c r="L138" s="221"/>
      <c r="M138" s="221"/>
      <c r="N138" s="221"/>
      <c r="O138" s="221"/>
      <c r="P138" s="221"/>
      <c r="Q138" s="221"/>
    </row>
    <row r="139" spans="1:17" x14ac:dyDescent="0.25">
      <c r="A139" s="221"/>
      <c r="B139" s="221" t="s">
        <v>65</v>
      </c>
      <c r="C139" s="221"/>
      <c r="D139" s="221"/>
      <c r="E139" s="221"/>
      <c r="F139" s="221"/>
      <c r="G139" s="221"/>
      <c r="H139" s="221"/>
      <c r="I139" s="221"/>
      <c r="J139" s="221"/>
      <c r="K139" s="221"/>
      <c r="L139" s="221"/>
      <c r="M139" s="221"/>
      <c r="N139" s="221"/>
      <c r="O139" s="221"/>
      <c r="P139" s="221"/>
      <c r="Q139" s="221"/>
    </row>
    <row r="140" spans="1:17" x14ac:dyDescent="0.25">
      <c r="A140" s="221"/>
      <c r="B140" s="221"/>
      <c r="C140" s="221"/>
      <c r="D140" s="221"/>
      <c r="E140" s="221"/>
      <c r="F140" s="221"/>
      <c r="G140" s="221"/>
      <c r="H140" s="221"/>
      <c r="I140" s="221"/>
      <c r="J140" s="221"/>
      <c r="K140" s="221"/>
      <c r="L140" s="221"/>
      <c r="M140" s="221"/>
      <c r="N140" s="221"/>
      <c r="O140" s="221"/>
      <c r="P140" s="221"/>
      <c r="Q140" s="221"/>
    </row>
    <row r="141" spans="1:17" x14ac:dyDescent="0.25">
      <c r="A141" s="221"/>
      <c r="B141" s="221"/>
      <c r="C141" s="221"/>
      <c r="D141" s="221"/>
      <c r="E141" s="221"/>
      <c r="F141" s="221"/>
      <c r="G141" s="221"/>
      <c r="H141" s="221"/>
      <c r="I141" s="221"/>
      <c r="J141" s="221"/>
      <c r="K141" s="221"/>
      <c r="L141" s="221"/>
      <c r="M141" s="221"/>
      <c r="N141" s="221"/>
      <c r="O141" s="221"/>
      <c r="P141" s="221"/>
      <c r="Q141" s="221"/>
    </row>
  </sheetData>
  <sheetProtection algorithmName="SHA-512" hashValue="gRz7mENOoOUZVnPCyzMsDEGJH4Y/s+h81qK0Upa/zMdym6DD1yRprZRrYxCaoQFPL9fZF5FtuVROlgDt5u+Dgw==" saltValue="w9TnvHhXbIg/HtdS6CHApw==" spinCount="100000" sheet="1" objects="1" scenarios="1"/>
  <hyperlinks>
    <hyperlink ref="C3" r:id="rId1" xr:uid="{0909AF88-CAF8-4A8F-A390-A2CC2B902C43}"/>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1">
    <tabColor theme="1"/>
    <pageSetUpPr fitToPage="1"/>
  </sheetPr>
  <dimension ref="A1:Q70"/>
  <sheetViews>
    <sheetView showGridLines="0" tabSelected="1" zoomScaleNormal="100" workbookViewId="0">
      <pane xSplit="2" ySplit="8" topLeftCell="C9" activePane="bottomRight" state="frozen"/>
      <selection pane="topRight" activeCell="U28" sqref="U28"/>
      <selection pane="bottomLeft" activeCell="U28" sqref="U28"/>
      <selection pane="bottomRight" activeCell="C3" sqref="C3"/>
    </sheetView>
  </sheetViews>
  <sheetFormatPr defaultColWidth="8.7109375" defaultRowHeight="11.25" outlineLevelCol="1" x14ac:dyDescent="0.25"/>
  <cols>
    <col min="1" max="1" width="12.7109375" style="378" customWidth="1"/>
    <col min="2" max="2" width="41.140625" style="378" customWidth="1"/>
    <col min="3" max="3" width="45.5703125" style="378" customWidth="1"/>
    <col min="4" max="9" width="3.7109375" style="378" hidden="1" customWidth="1" outlineLevel="1"/>
    <col min="10" max="10" width="3.7109375" style="378" customWidth="1" outlineLevel="1"/>
    <col min="11" max="12" width="9.7109375" style="400" customWidth="1"/>
    <col min="13" max="13" width="10.42578125" style="411" customWidth="1"/>
    <col min="14" max="14" width="13.7109375" style="401" bestFit="1" customWidth="1"/>
    <col min="15" max="15" width="8.42578125" style="399" customWidth="1"/>
    <col min="16" max="16384" width="8.7109375" style="378"/>
  </cols>
  <sheetData>
    <row r="1" spans="1:17" s="365" customFormat="1" ht="24" customHeight="1" x14ac:dyDescent="0.35">
      <c r="A1" s="318" t="s">
        <v>66</v>
      </c>
      <c r="B1" s="318"/>
      <c r="C1" s="318"/>
      <c r="D1" s="318"/>
      <c r="E1" s="318"/>
      <c r="F1" s="318"/>
      <c r="G1" s="318"/>
      <c r="H1" s="318"/>
      <c r="I1" s="318"/>
      <c r="J1" s="318"/>
      <c r="K1" s="318"/>
      <c r="L1" s="275"/>
      <c r="M1" s="275"/>
      <c r="N1" s="318"/>
      <c r="O1" s="364"/>
    </row>
    <row r="2" spans="1:17" s="366" customFormat="1" x14ac:dyDescent="0.2">
      <c r="A2" s="319" t="s">
        <v>114</v>
      </c>
      <c r="L2" s="413"/>
      <c r="M2" s="414"/>
      <c r="N2" s="367"/>
      <c r="Q2" s="365"/>
    </row>
    <row r="3" spans="1:17" s="366" customFormat="1" ht="12.75" x14ac:dyDescent="0.2">
      <c r="A3" s="366" t="s">
        <v>72</v>
      </c>
      <c r="B3" s="320" t="str" cm="1">
        <f t="array" ref="B3:C3">'Invul- en verrekenblad'!E5:F5</f>
        <v>CROW400 Definitief versie 1.3 - 2026</v>
      </c>
      <c r="C3" s="366">
        <v>0</v>
      </c>
      <c r="L3" s="413"/>
      <c r="M3" s="414"/>
      <c r="N3" s="367"/>
      <c r="Q3" s="365"/>
    </row>
    <row r="4" spans="1:17" s="366" customFormat="1" ht="13.9" customHeight="1" x14ac:dyDescent="0.2">
      <c r="A4" s="366" t="s">
        <v>74</v>
      </c>
      <c r="B4" s="422">
        <f>'Invul- en verrekenblad'!E6</f>
        <v>46119</v>
      </c>
      <c r="L4" s="413"/>
      <c r="M4" s="414"/>
      <c r="N4" s="367"/>
      <c r="Q4" s="365"/>
    </row>
    <row r="5" spans="1:17" s="366" customFormat="1" x14ac:dyDescent="0.2">
      <c r="A5" s="366" t="s">
        <v>76</v>
      </c>
      <c r="B5" s="322" t="str">
        <f>'Invul- en verrekenblad'!E7</f>
        <v>Alliander SRM Sourcing - Contractmanagement Aannemerij</v>
      </c>
      <c r="L5" s="413"/>
      <c r="M5" s="414"/>
      <c r="N5" s="367"/>
      <c r="Q5" s="365"/>
    </row>
    <row r="6" spans="1:17" s="366" customFormat="1" ht="18.75" x14ac:dyDescent="0.3">
      <c r="B6" s="472" t="s">
        <v>333</v>
      </c>
      <c r="C6" s="422"/>
      <c r="L6" s="413"/>
      <c r="M6" s="414"/>
      <c r="N6" s="367"/>
    </row>
    <row r="7" spans="1:17" s="365" customFormat="1" ht="12" thickBot="1" x14ac:dyDescent="0.25">
      <c r="C7" s="424"/>
      <c r="L7" s="276"/>
      <c r="M7" s="279"/>
      <c r="N7" s="369"/>
    </row>
    <row r="8" spans="1:17" s="365" customFormat="1" ht="23.25" customHeight="1" thickBot="1" x14ac:dyDescent="0.25">
      <c r="A8" s="425" t="s">
        <v>184</v>
      </c>
      <c r="B8" s="426" t="s">
        <v>185</v>
      </c>
      <c r="C8" s="426" t="s">
        <v>186</v>
      </c>
      <c r="D8" s="491"/>
      <c r="E8" s="491"/>
      <c r="F8" s="491"/>
      <c r="G8" s="491"/>
      <c r="H8" s="491"/>
      <c r="I8" s="491"/>
      <c r="J8" s="491"/>
      <c r="K8" s="328"/>
      <c r="L8" s="492"/>
      <c r="M8" s="492"/>
      <c r="N8" s="370"/>
      <c r="O8" s="371"/>
    </row>
    <row r="9" spans="1:17" s="365" customFormat="1" ht="51" customHeight="1" thickBot="1" x14ac:dyDescent="0.25">
      <c r="A9" s="427">
        <v>1</v>
      </c>
      <c r="B9" s="330" t="s">
        <v>124</v>
      </c>
      <c r="C9" s="327"/>
      <c r="D9" s="428" t="s">
        <v>313</v>
      </c>
      <c r="E9" s="429" t="s">
        <v>117</v>
      </c>
      <c r="F9" s="429" t="s">
        <v>118</v>
      </c>
      <c r="G9" s="430" t="s">
        <v>119</v>
      </c>
      <c r="H9" s="430" t="s">
        <v>120</v>
      </c>
      <c r="I9" s="431" t="s">
        <v>121</v>
      </c>
      <c r="J9" s="431" t="s">
        <v>122</v>
      </c>
      <c r="K9" s="372" t="s">
        <v>187</v>
      </c>
      <c r="L9" s="410" t="s">
        <v>188</v>
      </c>
      <c r="M9" s="415" t="s">
        <v>189</v>
      </c>
      <c r="N9" s="373" t="s">
        <v>190</v>
      </c>
      <c r="O9" s="374"/>
    </row>
    <row r="10" spans="1:17" s="379" customFormat="1" ht="33.75" x14ac:dyDescent="0.2">
      <c r="A10" s="432" t="s">
        <v>191</v>
      </c>
      <c r="B10" s="353" t="s">
        <v>192</v>
      </c>
      <c r="C10" s="353" t="s">
        <v>193</v>
      </c>
      <c r="D10" s="375" t="s">
        <v>194</v>
      </c>
      <c r="E10" s="375" t="s">
        <v>115</v>
      </c>
      <c r="F10" s="375" t="s">
        <v>115</v>
      </c>
      <c r="G10" s="375" t="s">
        <v>115</v>
      </c>
      <c r="H10" s="375" t="s">
        <v>115</v>
      </c>
      <c r="I10" s="375" t="s">
        <v>115</v>
      </c>
      <c r="J10" s="375" t="s">
        <v>115</v>
      </c>
      <c r="K10" s="375">
        <f>'Invul- en verrekenblad'!B20</f>
        <v>0</v>
      </c>
      <c r="L10" s="403" t="s">
        <v>195</v>
      </c>
      <c r="M10" s="416">
        <f>Gegevensblad!M10</f>
        <v>788.15229749355558</v>
      </c>
      <c r="N10" s="376">
        <f>IF('Invul- en verrekenblad'!B5="1.1  Aansluitingen + Net",K10*M10,0)</f>
        <v>0</v>
      </c>
      <c r="O10" s="377"/>
    </row>
    <row r="11" spans="1:17" s="379" customFormat="1" ht="33.75" x14ac:dyDescent="0.2">
      <c r="A11" s="433" t="s">
        <v>196</v>
      </c>
      <c r="B11" s="354" t="s">
        <v>197</v>
      </c>
      <c r="C11" s="354" t="s">
        <v>193</v>
      </c>
      <c r="D11" s="380" t="s">
        <v>194</v>
      </c>
      <c r="E11" s="380" t="s">
        <v>115</v>
      </c>
      <c r="F11" s="380" t="s">
        <v>115</v>
      </c>
      <c r="G11" s="380" t="s">
        <v>115</v>
      </c>
      <c r="H11" s="380" t="s">
        <v>115</v>
      </c>
      <c r="I11" s="380" t="s">
        <v>115</v>
      </c>
      <c r="J11" s="380" t="s">
        <v>115</v>
      </c>
      <c r="K11" s="380">
        <f>'Invul- en verrekenblad'!B20</f>
        <v>0</v>
      </c>
      <c r="L11" s="404" t="s">
        <v>195</v>
      </c>
      <c r="M11" s="461">
        <f>Gegevensblad!M11</f>
        <v>685.99735823544768</v>
      </c>
      <c r="N11" s="381">
        <f>IF('Invul- en verrekenblad'!B5="1.1a Aansluitingen",K11*M11,0)</f>
        <v>0</v>
      </c>
    </row>
    <row r="12" spans="1:17" s="379" customFormat="1" ht="33.75" x14ac:dyDescent="0.2">
      <c r="A12" s="433" t="s">
        <v>198</v>
      </c>
      <c r="B12" s="354" t="s">
        <v>199</v>
      </c>
      <c r="C12" s="354" t="s">
        <v>193</v>
      </c>
      <c r="D12" s="380" t="s">
        <v>194</v>
      </c>
      <c r="E12" s="380" t="s">
        <v>115</v>
      </c>
      <c r="F12" s="380" t="s">
        <v>115</v>
      </c>
      <c r="G12" s="380" t="s">
        <v>115</v>
      </c>
      <c r="H12" s="380" t="s">
        <v>115</v>
      </c>
      <c r="I12" s="380" t="s">
        <v>115</v>
      </c>
      <c r="J12" s="380" t="s">
        <v>115</v>
      </c>
      <c r="K12" s="380">
        <f>'Invul- en verrekenblad'!B20</f>
        <v>0</v>
      </c>
      <c r="L12" s="404" t="s">
        <v>195</v>
      </c>
      <c r="M12" s="461">
        <f>Gegevensblad!M12</f>
        <v>903.01067714958174</v>
      </c>
      <c r="N12" s="381">
        <f>IF('Invul- en verrekenblad'!B5="1.1b Net",K12*M12,0)</f>
        <v>0</v>
      </c>
      <c r="O12" s="382"/>
    </row>
    <row r="13" spans="1:17" s="379" customFormat="1" ht="33.75" x14ac:dyDescent="0.2">
      <c r="A13" s="433" t="s">
        <v>200</v>
      </c>
      <c r="B13" s="354" t="s">
        <v>201</v>
      </c>
      <c r="C13" s="354" t="s">
        <v>202</v>
      </c>
      <c r="D13" s="380" t="s">
        <v>194</v>
      </c>
      <c r="E13" s="434" t="s">
        <v>203</v>
      </c>
      <c r="F13" s="434" t="s">
        <v>203</v>
      </c>
      <c r="G13" s="434" t="s">
        <v>203</v>
      </c>
      <c r="H13" s="434" t="s">
        <v>203</v>
      </c>
      <c r="I13" s="434" t="s">
        <v>203</v>
      </c>
      <c r="J13" s="434" t="s">
        <v>203</v>
      </c>
      <c r="K13" s="380" t="b">
        <f>IF('Invul- en verrekenblad'!B20=1,IF(Variabelen!J9="ja",1,0))</f>
        <v>0</v>
      </c>
      <c r="L13" s="404" t="s">
        <v>195</v>
      </c>
      <c r="M13" s="461">
        <f>Gegevensblad!M13</f>
        <v>13.93021898974199</v>
      </c>
      <c r="N13" s="381">
        <f>IF('Invul- en verrekenblad'!B5="1.1  Aansluitingen + Net",K13*M13,0)</f>
        <v>0</v>
      </c>
      <c r="O13" s="382"/>
    </row>
    <row r="14" spans="1:17" s="379" customFormat="1" ht="33.75" x14ac:dyDescent="0.2">
      <c r="A14" s="433" t="s">
        <v>314</v>
      </c>
      <c r="B14" s="354" t="s">
        <v>201</v>
      </c>
      <c r="C14" s="354" t="s">
        <v>202</v>
      </c>
      <c r="D14" s="380" t="s">
        <v>194</v>
      </c>
      <c r="E14" s="434" t="s">
        <v>203</v>
      </c>
      <c r="F14" s="434" t="s">
        <v>203</v>
      </c>
      <c r="G14" s="434" t="s">
        <v>203</v>
      </c>
      <c r="H14" s="434" t="s">
        <v>203</v>
      </c>
      <c r="I14" s="434" t="s">
        <v>203</v>
      </c>
      <c r="J14" s="434" t="s">
        <v>203</v>
      </c>
      <c r="K14" s="380" t="b">
        <f>IF('Invul- en verrekenblad'!B20=1,IF(Variabelen!J9="ja",1,0))</f>
        <v>0</v>
      </c>
      <c r="L14" s="404" t="s">
        <v>195</v>
      </c>
      <c r="M14" s="461">
        <f>Gegevensblad!M14</f>
        <v>0</v>
      </c>
      <c r="N14" s="381">
        <f>IF('Invul- en verrekenblad'!B5="1.1a  Aansluitingen",K14*M14,0)</f>
        <v>0</v>
      </c>
      <c r="O14" s="382"/>
    </row>
    <row r="15" spans="1:17" s="379" customFormat="1" ht="33.75" x14ac:dyDescent="0.2">
      <c r="A15" s="433" t="s">
        <v>315</v>
      </c>
      <c r="B15" s="354" t="s">
        <v>201</v>
      </c>
      <c r="C15" s="354" t="s">
        <v>202</v>
      </c>
      <c r="D15" s="380" t="s">
        <v>194</v>
      </c>
      <c r="E15" s="434" t="s">
        <v>203</v>
      </c>
      <c r="F15" s="434" t="s">
        <v>203</v>
      </c>
      <c r="G15" s="434" t="s">
        <v>203</v>
      </c>
      <c r="H15" s="434" t="s">
        <v>203</v>
      </c>
      <c r="I15" s="434" t="s">
        <v>203</v>
      </c>
      <c r="J15" s="434" t="s">
        <v>203</v>
      </c>
      <c r="K15" s="380" t="b">
        <f>IF('Invul- en verrekenblad'!B20=1,IF(Variabelen!J9="ja",1,0))</f>
        <v>0</v>
      </c>
      <c r="L15" s="404" t="s">
        <v>195</v>
      </c>
      <c r="M15" s="461">
        <f>Gegevensblad!M15</f>
        <v>27.860437979483979</v>
      </c>
      <c r="N15" s="381">
        <f>IF('Invul- en verrekenblad'!B5="1.1b  Net",K15*M15,0)</f>
        <v>0</v>
      </c>
      <c r="O15" s="382"/>
    </row>
    <row r="16" spans="1:17" s="379" customFormat="1" ht="33.75" x14ac:dyDescent="0.2">
      <c r="A16" s="435" t="s">
        <v>204</v>
      </c>
      <c r="B16" s="354" t="s">
        <v>205</v>
      </c>
      <c r="C16" s="436" t="s">
        <v>206</v>
      </c>
      <c r="D16" s="380" t="s">
        <v>194</v>
      </c>
      <c r="E16" s="380" t="s">
        <v>115</v>
      </c>
      <c r="F16" s="380" t="s">
        <v>115</v>
      </c>
      <c r="G16" s="380" t="s">
        <v>115</v>
      </c>
      <c r="H16" s="380" t="s">
        <v>115</v>
      </c>
      <c r="I16" s="380" t="s">
        <v>115</v>
      </c>
      <c r="J16" s="380" t="s">
        <v>207</v>
      </c>
      <c r="K16" s="380">
        <f>'Invul- en verrekenblad'!B20</f>
        <v>0</v>
      </c>
      <c r="L16" s="404" t="s">
        <v>195</v>
      </c>
      <c r="M16" s="461">
        <f>Gegevensblad!M16</f>
        <v>297.67270594861179</v>
      </c>
      <c r="N16" s="381">
        <f>K16*M16</f>
        <v>0</v>
      </c>
      <c r="O16" s="383"/>
    </row>
    <row r="17" spans="1:15" ht="56.25" x14ac:dyDescent="0.2">
      <c r="A17" s="435" t="s">
        <v>208</v>
      </c>
      <c r="B17" s="354" t="s">
        <v>209</v>
      </c>
      <c r="C17" s="436" t="s">
        <v>327</v>
      </c>
      <c r="D17" s="380" t="s">
        <v>194</v>
      </c>
      <c r="E17" s="380" t="s">
        <v>194</v>
      </c>
      <c r="F17" s="380" t="s">
        <v>194</v>
      </c>
      <c r="G17" s="380" t="s">
        <v>115</v>
      </c>
      <c r="H17" s="380" t="s">
        <v>115</v>
      </c>
      <c r="I17" s="380" t="s">
        <v>115</v>
      </c>
      <c r="J17" s="380" t="s">
        <v>207</v>
      </c>
      <c r="K17" s="380">
        <f>'Invul- en verrekenblad'!B20</f>
        <v>0</v>
      </c>
      <c r="L17" s="404" t="s">
        <v>195</v>
      </c>
      <c r="M17" s="461">
        <f>Gegevensblad!M17</f>
        <v>222.88350383587184</v>
      </c>
      <c r="N17" s="381">
        <f>K17*M17</f>
        <v>0</v>
      </c>
      <c r="O17" s="377"/>
    </row>
    <row r="18" spans="1:15" ht="23.25" thickBot="1" x14ac:dyDescent="0.25">
      <c r="A18" s="438" t="s">
        <v>211</v>
      </c>
      <c r="B18" s="356" t="s">
        <v>212</v>
      </c>
      <c r="C18" s="356" t="s">
        <v>328</v>
      </c>
      <c r="D18" s="357" t="s">
        <v>194</v>
      </c>
      <c r="E18" s="357" t="s">
        <v>194</v>
      </c>
      <c r="F18" s="357" t="s">
        <v>194</v>
      </c>
      <c r="G18" s="357" t="s">
        <v>115</v>
      </c>
      <c r="H18" s="357" t="s">
        <v>115</v>
      </c>
      <c r="I18" s="357" t="s">
        <v>115</v>
      </c>
      <c r="J18" s="357" t="s">
        <v>115</v>
      </c>
      <c r="K18" s="357">
        <f>'Invul- en verrekenblad'!B20</f>
        <v>0</v>
      </c>
      <c r="L18" s="405" t="s">
        <v>195</v>
      </c>
      <c r="M18" s="462">
        <f>Gegevensblad!M18</f>
        <v>118.65161551936055</v>
      </c>
      <c r="N18" s="384">
        <f>K18*M18</f>
        <v>0</v>
      </c>
      <c r="O18" s="377"/>
    </row>
    <row r="19" spans="1:15" ht="47.25" thickBot="1" x14ac:dyDescent="0.25">
      <c r="A19" s="439">
        <v>2</v>
      </c>
      <c r="B19" s="330" t="s">
        <v>127</v>
      </c>
      <c r="C19" s="327"/>
      <c r="D19" s="428" t="s">
        <v>313</v>
      </c>
      <c r="E19" s="429" t="s">
        <v>117</v>
      </c>
      <c r="F19" s="429" t="s">
        <v>118</v>
      </c>
      <c r="G19" s="430" t="s">
        <v>119</v>
      </c>
      <c r="H19" s="430" t="s">
        <v>120</v>
      </c>
      <c r="I19" s="431" t="s">
        <v>121</v>
      </c>
      <c r="J19" s="431" t="s">
        <v>122</v>
      </c>
      <c r="K19" s="372"/>
      <c r="L19" s="410" t="s">
        <v>188</v>
      </c>
      <c r="M19" s="415" t="str">
        <f>Gegevensblad!M19</f>
        <v>Subtotaal Mensen</v>
      </c>
      <c r="N19" s="385"/>
      <c r="O19" s="386"/>
    </row>
    <row r="20" spans="1:15" ht="33.75" x14ac:dyDescent="0.25">
      <c r="A20" s="440" t="s">
        <v>214</v>
      </c>
      <c r="B20" s="353" t="s">
        <v>215</v>
      </c>
      <c r="C20" s="353" t="s">
        <v>216</v>
      </c>
      <c r="D20" s="375" t="s">
        <v>194</v>
      </c>
      <c r="E20" s="441" t="s">
        <v>115</v>
      </c>
      <c r="F20" s="441" t="s">
        <v>115</v>
      </c>
      <c r="G20" s="441" t="s">
        <v>115</v>
      </c>
      <c r="H20" s="375" t="s">
        <v>194</v>
      </c>
      <c r="I20" s="375" t="s">
        <v>194</v>
      </c>
      <c r="J20" s="375" t="s">
        <v>194</v>
      </c>
      <c r="K20" s="403"/>
      <c r="L20" s="403" t="s">
        <v>217</v>
      </c>
      <c r="M20" s="409">
        <f>Gegevensblad!M20</f>
        <v>811.64024501280403</v>
      </c>
      <c r="N20" s="456">
        <f t="shared" ref="N20:N26" si="0">K20*M20</f>
        <v>0</v>
      </c>
      <c r="O20" s="377"/>
    </row>
    <row r="21" spans="1:15" ht="33.75" x14ac:dyDescent="0.25">
      <c r="A21" s="442" t="s">
        <v>218</v>
      </c>
      <c r="B21" s="354" t="s">
        <v>219</v>
      </c>
      <c r="C21" s="354" t="s">
        <v>220</v>
      </c>
      <c r="D21" s="380" t="s">
        <v>194</v>
      </c>
      <c r="E21" s="380" t="s">
        <v>194</v>
      </c>
      <c r="F21" s="380" t="s">
        <v>194</v>
      </c>
      <c r="G21" s="380" t="s">
        <v>194</v>
      </c>
      <c r="H21" s="443" t="s">
        <v>115</v>
      </c>
      <c r="I21" s="443" t="s">
        <v>115</v>
      </c>
      <c r="J21" s="443" t="s">
        <v>115</v>
      </c>
      <c r="K21" s="380">
        <f>'Invul- en verrekenblad'!C20</f>
        <v>0</v>
      </c>
      <c r="L21" s="404" t="s">
        <v>217</v>
      </c>
      <c r="M21" s="412">
        <f>Gegevensblad!M21</f>
        <v>811.64024501280403</v>
      </c>
      <c r="N21" s="388">
        <f t="shared" si="0"/>
        <v>0</v>
      </c>
      <c r="O21" s="377"/>
    </row>
    <row r="22" spans="1:15" ht="33.75" x14ac:dyDescent="0.25">
      <c r="A22" s="442" t="s">
        <v>221</v>
      </c>
      <c r="B22" s="354" t="s">
        <v>222</v>
      </c>
      <c r="C22" s="354" t="s">
        <v>223</v>
      </c>
      <c r="D22" s="380" t="s">
        <v>194</v>
      </c>
      <c r="E22" s="380" t="s">
        <v>194</v>
      </c>
      <c r="F22" s="380" t="s">
        <v>194</v>
      </c>
      <c r="G22" s="380" t="s">
        <v>194</v>
      </c>
      <c r="H22" s="443" t="s">
        <v>115</v>
      </c>
      <c r="I22" s="443" t="s">
        <v>115</v>
      </c>
      <c r="J22" s="443" t="s">
        <v>194</v>
      </c>
      <c r="K22" s="404"/>
      <c r="L22" s="404" t="s">
        <v>217</v>
      </c>
      <c r="M22" s="412">
        <f>Gegevensblad!M22</f>
        <v>0</v>
      </c>
      <c r="N22" s="457">
        <f t="shared" si="0"/>
        <v>0</v>
      </c>
      <c r="O22" s="377"/>
    </row>
    <row r="23" spans="1:15" ht="33.75" x14ac:dyDescent="0.25">
      <c r="A23" s="442" t="s">
        <v>224</v>
      </c>
      <c r="B23" s="354" t="s">
        <v>225</v>
      </c>
      <c r="C23" s="354" t="s">
        <v>226</v>
      </c>
      <c r="D23" s="380" t="s">
        <v>194</v>
      </c>
      <c r="E23" s="380" t="s">
        <v>194</v>
      </c>
      <c r="F23" s="380" t="s">
        <v>194</v>
      </c>
      <c r="G23" s="380" t="s">
        <v>194</v>
      </c>
      <c r="H23" s="443" t="s">
        <v>115</v>
      </c>
      <c r="I23" s="443" t="s">
        <v>115</v>
      </c>
      <c r="J23" s="443" t="s">
        <v>115</v>
      </c>
      <c r="K23" s="380">
        <f>'Invul- en verrekenblad'!C20</f>
        <v>0</v>
      </c>
      <c r="L23" s="404" t="s">
        <v>217</v>
      </c>
      <c r="M23" s="412">
        <f>Gegevensblad!M23</f>
        <v>0</v>
      </c>
      <c r="N23" s="388">
        <f t="shared" si="0"/>
        <v>0</v>
      </c>
      <c r="O23" s="377"/>
    </row>
    <row r="24" spans="1:15" ht="33.75" x14ac:dyDescent="0.25">
      <c r="A24" s="442" t="s">
        <v>227</v>
      </c>
      <c r="B24" s="354" t="s">
        <v>228</v>
      </c>
      <c r="C24" s="354" t="s">
        <v>229</v>
      </c>
      <c r="D24" s="380" t="s">
        <v>194</v>
      </c>
      <c r="E24" s="380" t="s">
        <v>115</v>
      </c>
      <c r="F24" s="443" t="s">
        <v>115</v>
      </c>
      <c r="G24" s="443" t="s">
        <v>115</v>
      </c>
      <c r="H24" s="380" t="s">
        <v>194</v>
      </c>
      <c r="I24" s="380" t="s">
        <v>194</v>
      </c>
      <c r="J24" s="380" t="s">
        <v>194</v>
      </c>
      <c r="K24" s="404"/>
      <c r="L24" s="404" t="s">
        <v>217</v>
      </c>
      <c r="M24" s="412">
        <f>Gegevensblad!M24</f>
        <v>49.661587741513571</v>
      </c>
      <c r="N24" s="457">
        <f t="shared" si="0"/>
        <v>0</v>
      </c>
      <c r="O24" s="377"/>
    </row>
    <row r="25" spans="1:15" ht="45" x14ac:dyDescent="0.25">
      <c r="A25" s="442" t="s">
        <v>230</v>
      </c>
      <c r="B25" s="354" t="s">
        <v>231</v>
      </c>
      <c r="C25" s="354" t="s">
        <v>232</v>
      </c>
      <c r="D25" s="380" t="s">
        <v>194</v>
      </c>
      <c r="E25" s="380" t="s">
        <v>194</v>
      </c>
      <c r="F25" s="380" t="s">
        <v>194</v>
      </c>
      <c r="G25" s="380" t="s">
        <v>194</v>
      </c>
      <c r="H25" s="443" t="s">
        <v>115</v>
      </c>
      <c r="I25" s="443" t="s">
        <v>115</v>
      </c>
      <c r="J25" s="443" t="s">
        <v>115</v>
      </c>
      <c r="K25" s="380">
        <f>'Invul- en verrekenblad'!C20</f>
        <v>0</v>
      </c>
      <c r="L25" s="404" t="s">
        <v>217</v>
      </c>
      <c r="M25" s="412">
        <f>Gegevensblad!M25</f>
        <v>60.976513910007291</v>
      </c>
      <c r="N25" s="388">
        <f t="shared" si="0"/>
        <v>0</v>
      </c>
      <c r="O25" s="377"/>
    </row>
    <row r="26" spans="1:15" ht="57.6" customHeight="1" thickBot="1" x14ac:dyDescent="0.3">
      <c r="A26" s="444" t="s">
        <v>128</v>
      </c>
      <c r="B26" s="356" t="s">
        <v>233</v>
      </c>
      <c r="C26" s="356" t="s">
        <v>316</v>
      </c>
      <c r="D26" s="357" t="s">
        <v>194</v>
      </c>
      <c r="E26" s="445" t="s">
        <v>203</v>
      </c>
      <c r="F26" s="445" t="s">
        <v>203</v>
      </c>
      <c r="G26" s="445" t="s">
        <v>203</v>
      </c>
      <c r="H26" s="445" t="s">
        <v>203</v>
      </c>
      <c r="I26" s="445" t="s">
        <v>203</v>
      </c>
      <c r="J26" s="445" t="s">
        <v>203</v>
      </c>
      <c r="K26" s="357" t="b">
        <f>IF('Invul- en verrekenblad'!B20=1,IF(Variabelen!J11="ja",1,0))</f>
        <v>0</v>
      </c>
      <c r="L26" s="389" t="s">
        <v>235</v>
      </c>
      <c r="M26" s="390">
        <f>Variabelen!$L$11</f>
        <v>0</v>
      </c>
      <c r="N26" s="391">
        <f t="shared" si="0"/>
        <v>0</v>
      </c>
      <c r="O26" s="377"/>
    </row>
    <row r="27" spans="1:15" ht="47.25" thickBot="1" x14ac:dyDescent="0.25">
      <c r="A27" s="439">
        <v>3</v>
      </c>
      <c r="B27" s="330" t="s">
        <v>236</v>
      </c>
      <c r="C27" s="327"/>
      <c r="D27" s="428" t="s">
        <v>313</v>
      </c>
      <c r="E27" s="429" t="s">
        <v>117</v>
      </c>
      <c r="F27" s="429" t="s">
        <v>118</v>
      </c>
      <c r="G27" s="430" t="s">
        <v>119</v>
      </c>
      <c r="H27" s="430" t="s">
        <v>120</v>
      </c>
      <c r="I27" s="431" t="s">
        <v>121</v>
      </c>
      <c r="J27" s="431" t="s">
        <v>122</v>
      </c>
      <c r="K27" s="372"/>
      <c r="L27" s="372" t="s">
        <v>188</v>
      </c>
      <c r="M27" s="415" t="str">
        <f>Gegevensblad!M27</f>
        <v>Prijs per eenheid (€)</v>
      </c>
      <c r="N27" s="385"/>
      <c r="O27" s="386"/>
    </row>
    <row r="28" spans="1:15" ht="67.5" x14ac:dyDescent="0.25">
      <c r="A28" s="440" t="s">
        <v>237</v>
      </c>
      <c r="B28" s="353" t="s">
        <v>238</v>
      </c>
      <c r="C28" s="353" t="s">
        <v>239</v>
      </c>
      <c r="D28" s="375" t="s">
        <v>194</v>
      </c>
      <c r="E28" s="375" t="s">
        <v>115</v>
      </c>
      <c r="F28" s="375" t="s">
        <v>115</v>
      </c>
      <c r="G28" s="441" t="s">
        <v>115</v>
      </c>
      <c r="H28" s="375" t="s">
        <v>194</v>
      </c>
      <c r="I28" s="375" t="s">
        <v>194</v>
      </c>
      <c r="J28" s="375" t="s">
        <v>194</v>
      </c>
      <c r="K28" s="403"/>
      <c r="L28" s="375" t="s">
        <v>195</v>
      </c>
      <c r="M28" s="409">
        <f>Gegevensblad!M28</f>
        <v>620.76984676891959</v>
      </c>
      <c r="N28" s="456">
        <f>K28*M28</f>
        <v>0</v>
      </c>
      <c r="O28" s="377"/>
    </row>
    <row r="29" spans="1:15" ht="82.15" customHeight="1" thickBot="1" x14ac:dyDescent="0.3">
      <c r="A29" s="355" t="s">
        <v>240</v>
      </c>
      <c r="B29" s="356" t="s">
        <v>241</v>
      </c>
      <c r="C29" s="356" t="s">
        <v>242</v>
      </c>
      <c r="D29" s="357" t="s">
        <v>194</v>
      </c>
      <c r="E29" s="357" t="s">
        <v>194</v>
      </c>
      <c r="F29" s="357" t="s">
        <v>194</v>
      </c>
      <c r="G29" s="357" t="s">
        <v>194</v>
      </c>
      <c r="H29" s="445" t="s">
        <v>115</v>
      </c>
      <c r="I29" s="445" t="s">
        <v>115</v>
      </c>
      <c r="J29" s="445" t="s">
        <v>115</v>
      </c>
      <c r="K29" s="357">
        <f>'Invul- en verrekenblad'!B20</f>
        <v>0</v>
      </c>
      <c r="L29" s="357" t="s">
        <v>195</v>
      </c>
      <c r="M29" s="419">
        <f>Gegevensblad!M29</f>
        <v>762.2064238750911</v>
      </c>
      <c r="N29" s="391">
        <f>K29*M29</f>
        <v>0</v>
      </c>
      <c r="O29" s="377"/>
    </row>
    <row r="30" spans="1:15" ht="47.25" thickBot="1" x14ac:dyDescent="0.25">
      <c r="A30" s="427">
        <v>4</v>
      </c>
      <c r="B30" s="330" t="s">
        <v>131</v>
      </c>
      <c r="C30" s="327"/>
      <c r="D30" s="428" t="s">
        <v>313</v>
      </c>
      <c r="E30" s="429" t="s">
        <v>117</v>
      </c>
      <c r="F30" s="429" t="s">
        <v>118</v>
      </c>
      <c r="G30" s="430" t="s">
        <v>119</v>
      </c>
      <c r="H30" s="430" t="s">
        <v>120</v>
      </c>
      <c r="I30" s="431" t="s">
        <v>121</v>
      </c>
      <c r="J30" s="431" t="s">
        <v>122</v>
      </c>
      <c r="K30" s="372"/>
      <c r="L30" s="372" t="s">
        <v>188</v>
      </c>
      <c r="M30" s="415" t="str">
        <f>Gegevensblad!M30</f>
        <v>Prijs per eenheid (€)</v>
      </c>
      <c r="N30" s="385"/>
      <c r="O30" s="386"/>
    </row>
    <row r="31" spans="1:15" ht="45" x14ac:dyDescent="0.25">
      <c r="A31" s="446" t="s">
        <v>132</v>
      </c>
      <c r="B31" s="353" t="s">
        <v>133</v>
      </c>
      <c r="C31" s="353" t="s">
        <v>243</v>
      </c>
      <c r="D31" s="375" t="s">
        <v>194</v>
      </c>
      <c r="E31" s="375" t="s">
        <v>194</v>
      </c>
      <c r="F31" s="375" t="s">
        <v>203</v>
      </c>
      <c r="G31" s="375" t="s">
        <v>194</v>
      </c>
      <c r="H31" s="375" t="s">
        <v>203</v>
      </c>
      <c r="I31" s="375" t="s">
        <v>194</v>
      </c>
      <c r="J31" s="375" t="s">
        <v>203</v>
      </c>
      <c r="K31" s="375" t="b">
        <f>IF('Invul- en verrekenblad'!B20=1,IF(Variabelen!J13="ja",1,0))</f>
        <v>0</v>
      </c>
      <c r="L31" s="392" t="s">
        <v>235</v>
      </c>
      <c r="M31" s="390">
        <f>Variabelen!$L$13</f>
        <v>0</v>
      </c>
      <c r="N31" s="387">
        <f>K31*M31</f>
        <v>0</v>
      </c>
      <c r="O31" s="377"/>
    </row>
    <row r="32" spans="1:15" ht="45" x14ac:dyDescent="0.25">
      <c r="A32" s="447" t="s">
        <v>134</v>
      </c>
      <c r="B32" s="354" t="s">
        <v>135</v>
      </c>
      <c r="C32" s="354" t="s">
        <v>243</v>
      </c>
      <c r="D32" s="380" t="s">
        <v>194</v>
      </c>
      <c r="E32" s="380" t="s">
        <v>194</v>
      </c>
      <c r="F32" s="380" t="s">
        <v>203</v>
      </c>
      <c r="G32" s="380" t="s">
        <v>194</v>
      </c>
      <c r="H32" s="380" t="s">
        <v>203</v>
      </c>
      <c r="I32" s="380" t="s">
        <v>194</v>
      </c>
      <c r="J32" s="380" t="s">
        <v>203</v>
      </c>
      <c r="K32" s="380" t="b">
        <f>IF('Invul- en verrekenblad'!B20=1,IF(Variabelen!J14="ja",1,0))</f>
        <v>0</v>
      </c>
      <c r="L32" s="393" t="s">
        <v>235</v>
      </c>
      <c r="M32" s="393">
        <f>Variabelen!$L$14</f>
        <v>0</v>
      </c>
      <c r="N32" s="388">
        <f>K32*M32</f>
        <v>0</v>
      </c>
      <c r="O32" s="377"/>
    </row>
    <row r="33" spans="1:15" ht="45.75" thickBot="1" x14ac:dyDescent="0.3">
      <c r="A33" s="444" t="s">
        <v>136</v>
      </c>
      <c r="B33" s="356" t="s">
        <v>137</v>
      </c>
      <c r="C33" s="356" t="s">
        <v>244</v>
      </c>
      <c r="D33" s="357" t="s">
        <v>194</v>
      </c>
      <c r="E33" s="357" t="s">
        <v>194</v>
      </c>
      <c r="F33" s="357" t="s">
        <v>203</v>
      </c>
      <c r="G33" s="357" t="s">
        <v>194</v>
      </c>
      <c r="H33" s="357" t="s">
        <v>203</v>
      </c>
      <c r="I33" s="357" t="s">
        <v>194</v>
      </c>
      <c r="J33" s="357" t="s">
        <v>203</v>
      </c>
      <c r="K33" s="357" t="b">
        <f>IF('Invul- en verrekenblad'!B20=1,IF(Variabelen!J15="ja",1,0))</f>
        <v>0</v>
      </c>
      <c r="L33" s="390" t="s">
        <v>235</v>
      </c>
      <c r="M33" s="390">
        <f>Variabelen!$L$15</f>
        <v>0</v>
      </c>
      <c r="N33" s="391">
        <f>K33*M33</f>
        <v>0</v>
      </c>
      <c r="O33" s="377"/>
    </row>
    <row r="34" spans="1:15" ht="48.75" customHeight="1" thickBot="1" x14ac:dyDescent="0.3">
      <c r="A34" s="427">
        <v>5</v>
      </c>
      <c r="B34" s="493" t="s">
        <v>245</v>
      </c>
      <c r="C34" s="493"/>
      <c r="D34" s="428" t="s">
        <v>313</v>
      </c>
      <c r="E34" s="429" t="s">
        <v>117</v>
      </c>
      <c r="F34" s="429" t="s">
        <v>118</v>
      </c>
      <c r="G34" s="430" t="s">
        <v>119</v>
      </c>
      <c r="H34" s="430" t="s">
        <v>120</v>
      </c>
      <c r="I34" s="431" t="s">
        <v>121</v>
      </c>
      <c r="J34" s="431" t="s">
        <v>122</v>
      </c>
      <c r="K34" s="372"/>
      <c r="L34" s="372" t="s">
        <v>188</v>
      </c>
      <c r="M34" s="415" t="str">
        <f>Gegevensblad!M34</f>
        <v>Prijs per eenheid (€)</v>
      </c>
      <c r="N34" s="385"/>
      <c r="O34" s="386"/>
    </row>
    <row r="35" spans="1:15" ht="33.75" x14ac:dyDescent="0.25">
      <c r="A35" s="440" t="s">
        <v>246</v>
      </c>
      <c r="B35" s="353" t="s">
        <v>247</v>
      </c>
      <c r="C35" s="353" t="s">
        <v>248</v>
      </c>
      <c r="D35" s="375" t="s">
        <v>115</v>
      </c>
      <c r="E35" s="375" t="s">
        <v>115</v>
      </c>
      <c r="F35" s="375" t="s">
        <v>115</v>
      </c>
      <c r="G35" s="375" t="s">
        <v>115</v>
      </c>
      <c r="H35" s="375" t="s">
        <v>115</v>
      </c>
      <c r="I35" s="375" t="s">
        <v>115</v>
      </c>
      <c r="J35" s="375" t="s">
        <v>115</v>
      </c>
      <c r="K35" s="375">
        <f>'Invul- en verrekenblad'!C20</f>
        <v>0</v>
      </c>
      <c r="L35" s="375" t="s">
        <v>217</v>
      </c>
      <c r="M35" s="409">
        <f>Gegevensblad!M35</f>
        <v>0</v>
      </c>
      <c r="N35" s="387">
        <f t="shared" ref="N35:N43" si="1">K35*M35</f>
        <v>0</v>
      </c>
      <c r="O35" s="377"/>
    </row>
    <row r="36" spans="1:15" ht="22.5" x14ac:dyDescent="0.25">
      <c r="A36" s="442" t="s">
        <v>139</v>
      </c>
      <c r="B36" s="354" t="s">
        <v>140</v>
      </c>
      <c r="C36" s="354" t="s">
        <v>249</v>
      </c>
      <c r="D36" s="380" t="s">
        <v>203</v>
      </c>
      <c r="E36" s="380" t="s">
        <v>203</v>
      </c>
      <c r="F36" s="380" t="s">
        <v>203</v>
      </c>
      <c r="G36" s="380" t="s">
        <v>115</v>
      </c>
      <c r="H36" s="380" t="s">
        <v>115</v>
      </c>
      <c r="I36" s="380" t="s">
        <v>115</v>
      </c>
      <c r="J36" s="380" t="s">
        <v>115</v>
      </c>
      <c r="K36" s="380">
        <f>'Invul- en verrekenblad'!B20</f>
        <v>0</v>
      </c>
      <c r="L36" s="380" t="s">
        <v>250</v>
      </c>
      <c r="M36" s="412">
        <f>Gegevensblad!M36</f>
        <v>9.9831560644368125</v>
      </c>
      <c r="N36" s="388">
        <f t="shared" si="1"/>
        <v>0</v>
      </c>
      <c r="O36" s="377"/>
    </row>
    <row r="37" spans="1:15" ht="33.75" x14ac:dyDescent="0.25">
      <c r="A37" s="447" t="s">
        <v>141</v>
      </c>
      <c r="B37" s="354" t="s">
        <v>251</v>
      </c>
      <c r="C37" s="354" t="s">
        <v>329</v>
      </c>
      <c r="D37" s="380" t="s">
        <v>194</v>
      </c>
      <c r="E37" s="380" t="s">
        <v>194</v>
      </c>
      <c r="F37" s="380" t="s">
        <v>194</v>
      </c>
      <c r="G37" s="434" t="s">
        <v>203</v>
      </c>
      <c r="H37" s="434" t="s">
        <v>203</v>
      </c>
      <c r="I37" s="434" t="s">
        <v>203</v>
      </c>
      <c r="J37" s="434" t="s">
        <v>203</v>
      </c>
      <c r="K37" s="380" t="b">
        <f>IF('Invul- en verrekenblad'!B20=1,IF(Variabelen!J18="ja",'Invul- en verrekenblad'!C20,0))</f>
        <v>0</v>
      </c>
      <c r="L37" s="380" t="s">
        <v>217</v>
      </c>
      <c r="M37" s="412">
        <f>Gegevensblad!M37</f>
        <v>152.18225707982944</v>
      </c>
      <c r="N37" s="388">
        <f t="shared" si="1"/>
        <v>0</v>
      </c>
      <c r="O37" s="377"/>
    </row>
    <row r="38" spans="1:15" ht="22.5" x14ac:dyDescent="0.25">
      <c r="A38" s="447" t="s">
        <v>143</v>
      </c>
      <c r="B38" s="354" t="s">
        <v>253</v>
      </c>
      <c r="C38" s="354" t="s">
        <v>254</v>
      </c>
      <c r="D38" s="380" t="s">
        <v>194</v>
      </c>
      <c r="E38" s="380" t="s">
        <v>194</v>
      </c>
      <c r="F38" s="380" t="s">
        <v>194</v>
      </c>
      <c r="G38" s="434" t="s">
        <v>203</v>
      </c>
      <c r="H38" s="434" t="s">
        <v>203</v>
      </c>
      <c r="I38" s="434" t="s">
        <v>203</v>
      </c>
      <c r="J38" s="434" t="s">
        <v>203</v>
      </c>
      <c r="K38" s="394" t="b">
        <f>IF('Invul- en verrekenblad'!B20=1,IF(Variabelen!J18="ja",Variabelen!J19,0))</f>
        <v>0</v>
      </c>
      <c r="L38" s="394" t="s">
        <v>268</v>
      </c>
      <c r="M38" s="412">
        <f>Gegevensblad!M38</f>
        <v>436.76307781911055</v>
      </c>
      <c r="N38" s="388">
        <f t="shared" si="1"/>
        <v>0</v>
      </c>
      <c r="O38" s="377"/>
    </row>
    <row r="39" spans="1:15" x14ac:dyDescent="0.25">
      <c r="A39" s="442" t="s">
        <v>255</v>
      </c>
      <c r="B39" s="354" t="s">
        <v>256</v>
      </c>
      <c r="C39" s="354" t="s">
        <v>257</v>
      </c>
      <c r="D39" s="380" t="s">
        <v>194</v>
      </c>
      <c r="E39" s="380" t="s">
        <v>115</v>
      </c>
      <c r="F39" s="380" t="s">
        <v>115</v>
      </c>
      <c r="G39" s="380" t="s">
        <v>115</v>
      </c>
      <c r="H39" s="380" t="s">
        <v>115</v>
      </c>
      <c r="I39" s="380" t="s">
        <v>115</v>
      </c>
      <c r="J39" s="380" t="s">
        <v>115</v>
      </c>
      <c r="K39" s="380">
        <f>'Invul- en verrekenblad'!C20</f>
        <v>0</v>
      </c>
      <c r="L39" s="394" t="s">
        <v>217</v>
      </c>
      <c r="M39" s="412">
        <f>Gegevensblad!M39</f>
        <v>12.478945080546016</v>
      </c>
      <c r="N39" s="388">
        <f t="shared" si="1"/>
        <v>0</v>
      </c>
      <c r="O39" s="377"/>
    </row>
    <row r="40" spans="1:15" ht="45" x14ac:dyDescent="0.25">
      <c r="A40" s="447" t="s">
        <v>145</v>
      </c>
      <c r="B40" s="354" t="s">
        <v>146</v>
      </c>
      <c r="C40" s="354" t="s">
        <v>258</v>
      </c>
      <c r="D40" s="380" t="s">
        <v>203</v>
      </c>
      <c r="E40" s="434" t="s">
        <v>203</v>
      </c>
      <c r="F40" s="434" t="s">
        <v>203</v>
      </c>
      <c r="G40" s="434" t="s">
        <v>203</v>
      </c>
      <c r="H40" s="434" t="s">
        <v>203</v>
      </c>
      <c r="I40" s="434" t="s">
        <v>203</v>
      </c>
      <c r="J40" s="434" t="s">
        <v>203</v>
      </c>
      <c r="K40" s="394" t="b">
        <f>IF('Invul- en verrekenblad'!B20=1,IF(Variabelen!J20="ja",'Invul- en verrekenblad'!F20,0))</f>
        <v>0</v>
      </c>
      <c r="L40" s="394" t="s">
        <v>259</v>
      </c>
      <c r="M40" s="412">
        <f>Gegevensblad!M40</f>
        <v>1.1231050572491412</v>
      </c>
      <c r="N40" s="388">
        <f t="shared" si="1"/>
        <v>0</v>
      </c>
      <c r="O40" s="377"/>
    </row>
    <row r="41" spans="1:15" ht="45" x14ac:dyDescent="0.25">
      <c r="A41" s="447" t="s">
        <v>147</v>
      </c>
      <c r="B41" s="354" t="s">
        <v>260</v>
      </c>
      <c r="C41" s="354" t="s">
        <v>261</v>
      </c>
      <c r="D41" s="380" t="s">
        <v>194</v>
      </c>
      <c r="E41" s="434" t="s">
        <v>203</v>
      </c>
      <c r="F41" s="434" t="s">
        <v>203</v>
      </c>
      <c r="G41" s="434" t="s">
        <v>203</v>
      </c>
      <c r="H41" s="434" t="s">
        <v>203</v>
      </c>
      <c r="I41" s="434" t="s">
        <v>203</v>
      </c>
      <c r="J41" s="434" t="s">
        <v>203</v>
      </c>
      <c r="K41" s="380" t="b">
        <f>IF('Invul- en verrekenblad'!B20=1,IF(Variabelen!J21="ja",'Invul- en verrekenblad'!F20*('Invul- en verrekenblad'!C20/5),0))</f>
        <v>0</v>
      </c>
      <c r="L41" s="380" t="s">
        <v>262</v>
      </c>
      <c r="M41" s="412">
        <f>Gegevensblad!M41</f>
        <v>7.045474864806919</v>
      </c>
      <c r="N41" s="388">
        <f t="shared" si="1"/>
        <v>0</v>
      </c>
      <c r="O41" s="377"/>
    </row>
    <row r="42" spans="1:15" ht="56.25" x14ac:dyDescent="0.25">
      <c r="A42" s="447" t="s">
        <v>149</v>
      </c>
      <c r="B42" s="354" t="s">
        <v>263</v>
      </c>
      <c r="C42" s="354" t="s">
        <v>264</v>
      </c>
      <c r="D42" s="380" t="s">
        <v>203</v>
      </c>
      <c r="E42" s="434" t="s">
        <v>203</v>
      </c>
      <c r="F42" s="434" t="s">
        <v>203</v>
      </c>
      <c r="G42" s="434" t="s">
        <v>203</v>
      </c>
      <c r="H42" s="434" t="s">
        <v>203</v>
      </c>
      <c r="I42" s="434" t="s">
        <v>203</v>
      </c>
      <c r="J42" s="434" t="s">
        <v>203</v>
      </c>
      <c r="K42" s="395" t="b">
        <f>IF('Invul- en verrekenblad'!B20=1,IF(Variabelen!J22="ja",'Invul- en verrekenblad'!F20/3.5*('Invul- en verrekenblad'!C20/5),0))</f>
        <v>0</v>
      </c>
      <c r="L42" s="380" t="s">
        <v>265</v>
      </c>
      <c r="M42" s="412">
        <f>Gegevensblad!M42</f>
        <v>8.4545698377683021</v>
      </c>
      <c r="N42" s="388">
        <f t="shared" si="1"/>
        <v>0</v>
      </c>
      <c r="O42" s="377"/>
    </row>
    <row r="43" spans="1:15" ht="23.25" thickBot="1" x14ac:dyDescent="0.3">
      <c r="A43" s="447" t="s">
        <v>151</v>
      </c>
      <c r="B43" s="354" t="s">
        <v>266</v>
      </c>
      <c r="C43" s="354" t="s">
        <v>267</v>
      </c>
      <c r="D43" s="380" t="s">
        <v>203</v>
      </c>
      <c r="E43" s="434" t="s">
        <v>203</v>
      </c>
      <c r="F43" s="434" t="s">
        <v>203</v>
      </c>
      <c r="G43" s="434" t="s">
        <v>203</v>
      </c>
      <c r="H43" s="434" t="s">
        <v>203</v>
      </c>
      <c r="I43" s="434" t="s">
        <v>203</v>
      </c>
      <c r="J43" s="434" t="s">
        <v>203</v>
      </c>
      <c r="K43" s="380" t="b">
        <f>IF('Invul- en verrekenblad'!B20=1,IF(OR(Variabelen!J21="ja",Variabelen!J22="ja"),Variabelen!J23,0))</f>
        <v>0</v>
      </c>
      <c r="L43" s="380" t="s">
        <v>268</v>
      </c>
      <c r="M43" s="412">
        <f>Gegevensblad!M43</f>
        <v>450.91039134764281</v>
      </c>
      <c r="N43" s="388">
        <f t="shared" si="1"/>
        <v>0</v>
      </c>
      <c r="O43" s="377"/>
    </row>
    <row r="44" spans="1:15" ht="47.25" thickBot="1" x14ac:dyDescent="0.25">
      <c r="A44" s="427">
        <v>6</v>
      </c>
      <c r="B44" s="330" t="s">
        <v>155</v>
      </c>
      <c r="C44" s="327"/>
      <c r="D44" s="428" t="s">
        <v>313</v>
      </c>
      <c r="E44" s="429" t="s">
        <v>117</v>
      </c>
      <c r="F44" s="429" t="s">
        <v>118</v>
      </c>
      <c r="G44" s="430" t="s">
        <v>119</v>
      </c>
      <c r="H44" s="430" t="s">
        <v>120</v>
      </c>
      <c r="I44" s="431" t="s">
        <v>121</v>
      </c>
      <c r="J44" s="431" t="s">
        <v>122</v>
      </c>
      <c r="K44" s="372"/>
      <c r="L44" s="372" t="s">
        <v>188</v>
      </c>
      <c r="M44" s="410" t="str">
        <f>Gegevensblad!M45</f>
        <v>Prijs per eenheid (€)</v>
      </c>
      <c r="N44" s="385"/>
      <c r="O44" s="386"/>
    </row>
    <row r="45" spans="1:15" ht="22.5" x14ac:dyDescent="0.25">
      <c r="A45" s="440" t="s">
        <v>270</v>
      </c>
      <c r="B45" s="353" t="s">
        <v>271</v>
      </c>
      <c r="C45" s="353" t="s">
        <v>272</v>
      </c>
      <c r="D45" s="375" t="s">
        <v>194</v>
      </c>
      <c r="E45" s="375" t="s">
        <v>115</v>
      </c>
      <c r="F45" s="375" t="s">
        <v>115</v>
      </c>
      <c r="G45" s="375" t="s">
        <v>194</v>
      </c>
      <c r="H45" s="375" t="s">
        <v>194</v>
      </c>
      <c r="I45" s="375" t="s">
        <v>194</v>
      </c>
      <c r="J45" s="375" t="s">
        <v>194</v>
      </c>
      <c r="K45" s="403"/>
      <c r="L45" s="375" t="s">
        <v>217</v>
      </c>
      <c r="M45" s="403">
        <f>Gegevensblad!M46</f>
        <v>0</v>
      </c>
      <c r="N45" s="456">
        <f t="shared" ref="N45:N50" si="2">K45*M45</f>
        <v>0</v>
      </c>
      <c r="O45" s="377"/>
    </row>
    <row r="46" spans="1:15" ht="45" x14ac:dyDescent="0.25">
      <c r="A46" s="447" t="s">
        <v>156</v>
      </c>
      <c r="B46" s="354" t="s">
        <v>157</v>
      </c>
      <c r="C46" s="354" t="s">
        <v>317</v>
      </c>
      <c r="D46" s="380" t="s">
        <v>194</v>
      </c>
      <c r="E46" s="434" t="s">
        <v>203</v>
      </c>
      <c r="F46" s="434" t="s">
        <v>203</v>
      </c>
      <c r="G46" s="380" t="s">
        <v>203</v>
      </c>
      <c r="H46" s="380" t="s">
        <v>115</v>
      </c>
      <c r="I46" s="380" t="s">
        <v>115</v>
      </c>
      <c r="J46" s="380" t="s">
        <v>115</v>
      </c>
      <c r="K46" s="380">
        <f>'Invul- en verrekenblad'!C20*'Invul- en verrekenblad'!E20</f>
        <v>0</v>
      </c>
      <c r="L46" s="380" t="s">
        <v>217</v>
      </c>
      <c r="M46" s="464">
        <f>Gegevensblad!M47</f>
        <v>129.6367375124473</v>
      </c>
      <c r="N46" s="388">
        <f t="shared" si="2"/>
        <v>0</v>
      </c>
      <c r="O46" s="377"/>
    </row>
    <row r="47" spans="1:15" ht="33.75" x14ac:dyDescent="0.25">
      <c r="A47" s="447" t="s">
        <v>158</v>
      </c>
      <c r="B47" s="354" t="s">
        <v>159</v>
      </c>
      <c r="C47" s="354" t="s">
        <v>331</v>
      </c>
      <c r="D47" s="380" t="s">
        <v>194</v>
      </c>
      <c r="E47" s="380" t="s">
        <v>194</v>
      </c>
      <c r="F47" s="380" t="s">
        <v>194</v>
      </c>
      <c r="G47" s="380" t="s">
        <v>194</v>
      </c>
      <c r="H47" s="434" t="s">
        <v>203</v>
      </c>
      <c r="I47" s="380" t="s">
        <v>194</v>
      </c>
      <c r="J47" s="434" t="s">
        <v>203</v>
      </c>
      <c r="K47" s="380" t="b">
        <f>IF('Invul- en verrekenblad'!B20=1,IF(Variabelen!J27="ja",1,0))</f>
        <v>0</v>
      </c>
      <c r="L47" s="393" t="s">
        <v>235</v>
      </c>
      <c r="M47" s="418">
        <f>Variabelen!$L$27</f>
        <v>0</v>
      </c>
      <c r="N47" s="388">
        <f t="shared" si="2"/>
        <v>0</v>
      </c>
      <c r="O47" s="377"/>
    </row>
    <row r="48" spans="1:15" ht="22.5" x14ac:dyDescent="0.25">
      <c r="A48" s="447" t="s">
        <v>160</v>
      </c>
      <c r="B48" s="354" t="s">
        <v>275</v>
      </c>
      <c r="C48" s="354" t="s">
        <v>276</v>
      </c>
      <c r="D48" s="380" t="s">
        <v>194</v>
      </c>
      <c r="E48" s="434" t="s">
        <v>203</v>
      </c>
      <c r="F48" s="434" t="s">
        <v>203</v>
      </c>
      <c r="G48" s="434" t="s">
        <v>203</v>
      </c>
      <c r="H48" s="434" t="s">
        <v>203</v>
      </c>
      <c r="I48" s="434" t="s">
        <v>203</v>
      </c>
      <c r="J48" s="434" t="s">
        <v>203</v>
      </c>
      <c r="K48" s="380" t="b">
        <f>IF('Invul- en verrekenblad'!B20=1,IF(Variabelen!J28="ja",Variabelen!L28,0))</f>
        <v>0</v>
      </c>
      <c r="L48" s="380" t="s">
        <v>162</v>
      </c>
      <c r="M48" s="464">
        <f>Gegevensblad!M49</f>
        <v>5.0727419026609821</v>
      </c>
      <c r="N48" s="388">
        <f t="shared" si="2"/>
        <v>0</v>
      </c>
      <c r="O48" s="377"/>
    </row>
    <row r="49" spans="1:15" ht="22.5" x14ac:dyDescent="0.25">
      <c r="A49" s="447" t="s">
        <v>163</v>
      </c>
      <c r="B49" s="354" t="s">
        <v>164</v>
      </c>
      <c r="C49" s="354" t="s">
        <v>277</v>
      </c>
      <c r="D49" s="380" t="s">
        <v>194</v>
      </c>
      <c r="E49" s="434" t="s">
        <v>203</v>
      </c>
      <c r="F49" s="434" t="s">
        <v>203</v>
      </c>
      <c r="G49" s="434" t="s">
        <v>203</v>
      </c>
      <c r="H49" s="434" t="s">
        <v>203</v>
      </c>
      <c r="I49" s="434" t="s">
        <v>203</v>
      </c>
      <c r="J49" s="434" t="s">
        <v>203</v>
      </c>
      <c r="K49" s="380" t="b">
        <f>IF('Invul- en verrekenblad'!B20=1,IF(Variabelen!J29="ja",1,0))</f>
        <v>0</v>
      </c>
      <c r="L49" s="393" t="s">
        <v>235</v>
      </c>
      <c r="M49" s="418">
        <f>Variabelen!$L$29</f>
        <v>0</v>
      </c>
      <c r="N49" s="388">
        <f t="shared" si="2"/>
        <v>0</v>
      </c>
      <c r="O49" s="377"/>
    </row>
    <row r="50" spans="1:15" ht="12" thickBot="1" x14ac:dyDescent="0.3">
      <c r="A50" s="355" t="s">
        <v>278</v>
      </c>
      <c r="B50" s="356" t="s">
        <v>279</v>
      </c>
      <c r="C50" s="356" t="s">
        <v>280</v>
      </c>
      <c r="D50" s="357" t="s">
        <v>194</v>
      </c>
      <c r="E50" s="357" t="s">
        <v>115</v>
      </c>
      <c r="F50" s="357" t="s">
        <v>115</v>
      </c>
      <c r="G50" s="357" t="s">
        <v>115</v>
      </c>
      <c r="H50" s="357" t="s">
        <v>115</v>
      </c>
      <c r="I50" s="357" t="s">
        <v>115</v>
      </c>
      <c r="J50" s="357" t="s">
        <v>115</v>
      </c>
      <c r="K50" s="357">
        <f>'Invul- en verrekenblad'!E20</f>
        <v>0</v>
      </c>
      <c r="L50" s="357" t="s">
        <v>281</v>
      </c>
      <c r="M50" s="465">
        <f>Gegevensblad!M51</f>
        <v>38.9967033767063</v>
      </c>
      <c r="N50" s="391">
        <f t="shared" si="2"/>
        <v>0</v>
      </c>
      <c r="O50" s="377"/>
    </row>
    <row r="51" spans="1:15" ht="47.25" thickBot="1" x14ac:dyDescent="0.25">
      <c r="A51" s="427">
        <v>7</v>
      </c>
      <c r="B51" s="330" t="s">
        <v>165</v>
      </c>
      <c r="C51" s="327"/>
      <c r="D51" s="428" t="s">
        <v>313</v>
      </c>
      <c r="E51" s="429" t="s">
        <v>117</v>
      </c>
      <c r="F51" s="429" t="s">
        <v>118</v>
      </c>
      <c r="G51" s="430" t="s">
        <v>119</v>
      </c>
      <c r="H51" s="430" t="s">
        <v>120</v>
      </c>
      <c r="I51" s="431" t="s">
        <v>121</v>
      </c>
      <c r="J51" s="431" t="s">
        <v>122</v>
      </c>
      <c r="K51" s="372"/>
      <c r="L51" s="372" t="s">
        <v>188</v>
      </c>
      <c r="M51" s="410" t="str">
        <f>Gegevensblad!M52</f>
        <v>Prijs per eenheid (€)</v>
      </c>
      <c r="N51" s="385"/>
      <c r="O51" s="386"/>
    </row>
    <row r="52" spans="1:15" ht="78.75" x14ac:dyDescent="0.25">
      <c r="A52" s="440" t="s">
        <v>282</v>
      </c>
      <c r="B52" s="353" t="s">
        <v>283</v>
      </c>
      <c r="C52" s="353" t="s">
        <v>284</v>
      </c>
      <c r="D52" s="375" t="s">
        <v>194</v>
      </c>
      <c r="E52" s="375" t="s">
        <v>115</v>
      </c>
      <c r="F52" s="375" t="s">
        <v>115</v>
      </c>
      <c r="G52" s="375" t="s">
        <v>115</v>
      </c>
      <c r="H52" s="375" t="s">
        <v>115</v>
      </c>
      <c r="I52" s="375" t="s">
        <v>115</v>
      </c>
      <c r="J52" s="375" t="s">
        <v>115</v>
      </c>
      <c r="K52" s="375">
        <f>'Invul- en verrekenblad'!C20*'Invul- en verrekenblad'!D20</f>
        <v>0</v>
      </c>
      <c r="L52" s="375" t="s">
        <v>217</v>
      </c>
      <c r="M52" s="466">
        <f>Gegevensblad!M53</f>
        <v>15.218225707982945</v>
      </c>
      <c r="N52" s="387">
        <f>K52*M52</f>
        <v>0</v>
      </c>
      <c r="O52" s="377"/>
    </row>
    <row r="53" spans="1:15" ht="56.25" x14ac:dyDescent="0.25">
      <c r="A53" s="447" t="s">
        <v>166</v>
      </c>
      <c r="B53" s="354" t="s">
        <v>167</v>
      </c>
      <c r="C53" s="354" t="s">
        <v>319</v>
      </c>
      <c r="D53" s="380" t="s">
        <v>194</v>
      </c>
      <c r="E53" s="434" t="s">
        <v>203</v>
      </c>
      <c r="F53" s="380" t="s">
        <v>115</v>
      </c>
      <c r="G53" s="434" t="s">
        <v>203</v>
      </c>
      <c r="H53" s="380" t="s">
        <v>115</v>
      </c>
      <c r="I53" s="434" t="s">
        <v>203</v>
      </c>
      <c r="J53" s="380" t="s">
        <v>115</v>
      </c>
      <c r="K53" s="380">
        <f>'Invul- en verrekenblad'!C20*'Invul- en verrekenblad'!D20</f>
        <v>0</v>
      </c>
      <c r="L53" s="380" t="s">
        <v>217</v>
      </c>
      <c r="M53" s="464">
        <f>Gegevensblad!M54</f>
        <v>18.036415653905713</v>
      </c>
      <c r="N53" s="388">
        <f>K53*M53</f>
        <v>0</v>
      </c>
      <c r="O53" s="377"/>
    </row>
    <row r="54" spans="1:15" ht="45" x14ac:dyDescent="0.25">
      <c r="A54" s="447" t="s">
        <v>168</v>
      </c>
      <c r="B54" s="354" t="s">
        <v>169</v>
      </c>
      <c r="C54" s="354" t="s">
        <v>320</v>
      </c>
      <c r="D54" s="380" t="s">
        <v>194</v>
      </c>
      <c r="E54" s="434" t="s">
        <v>203</v>
      </c>
      <c r="F54" s="434" t="s">
        <v>203</v>
      </c>
      <c r="G54" s="434" t="s">
        <v>203</v>
      </c>
      <c r="H54" s="434" t="s">
        <v>203</v>
      </c>
      <c r="I54" s="434" t="s">
        <v>203</v>
      </c>
      <c r="J54" s="434" t="s">
        <v>203</v>
      </c>
      <c r="K54" s="380" t="b">
        <f>IF('Invul- en verrekenblad'!B20=1,IF(Variabelen!J32="ja",1,0))</f>
        <v>0</v>
      </c>
      <c r="L54" s="393" t="s">
        <v>235</v>
      </c>
      <c r="M54" s="418">
        <f>Variabelen!$L$32</f>
        <v>0</v>
      </c>
      <c r="N54" s="388">
        <f>K54*M54</f>
        <v>0</v>
      </c>
      <c r="O54" s="377"/>
    </row>
    <row r="55" spans="1:15" ht="23.25" thickBot="1" x14ac:dyDescent="0.3">
      <c r="A55" s="444" t="s">
        <v>170</v>
      </c>
      <c r="B55" s="356" t="s">
        <v>171</v>
      </c>
      <c r="C55" s="356" t="s">
        <v>334</v>
      </c>
      <c r="D55" s="357" t="s">
        <v>194</v>
      </c>
      <c r="E55" s="357" t="s">
        <v>194</v>
      </c>
      <c r="F55" s="357" t="s">
        <v>194</v>
      </c>
      <c r="G55" s="357" t="s">
        <v>194</v>
      </c>
      <c r="H55" s="357" t="s">
        <v>194</v>
      </c>
      <c r="I55" s="357" t="s">
        <v>194</v>
      </c>
      <c r="J55" s="445" t="s">
        <v>203</v>
      </c>
      <c r="K55" s="357" t="b">
        <f>IF('Invul- en verrekenblad'!B20=1,IF(Variabelen!J33="ja",1,0))</f>
        <v>0</v>
      </c>
      <c r="L55" s="390" t="s">
        <v>235</v>
      </c>
      <c r="M55" s="418">
        <f>Variabelen!$L$33</f>
        <v>0</v>
      </c>
      <c r="N55" s="391">
        <f>K55*M55</f>
        <v>0</v>
      </c>
      <c r="O55" s="377"/>
    </row>
    <row r="56" spans="1:15" ht="47.25" thickBot="1" x14ac:dyDescent="0.3">
      <c r="A56" s="427">
        <v>8</v>
      </c>
      <c r="B56" s="330" t="s">
        <v>288</v>
      </c>
      <c r="C56" s="330"/>
      <c r="D56" s="428" t="s">
        <v>313</v>
      </c>
      <c r="E56" s="429" t="s">
        <v>117</v>
      </c>
      <c r="F56" s="429" t="s">
        <v>118</v>
      </c>
      <c r="G56" s="430" t="s">
        <v>119</v>
      </c>
      <c r="H56" s="430" t="s">
        <v>120</v>
      </c>
      <c r="I56" s="431" t="s">
        <v>121</v>
      </c>
      <c r="J56" s="431" t="s">
        <v>122</v>
      </c>
      <c r="K56" s="372"/>
      <c r="L56" s="372" t="s">
        <v>188</v>
      </c>
      <c r="M56" s="410" t="str">
        <f>Gegevensblad!M57</f>
        <v>Prijs per eenheid (€)</v>
      </c>
      <c r="N56" s="385"/>
      <c r="O56" s="386"/>
    </row>
    <row r="57" spans="1:15" ht="56.25" x14ac:dyDescent="0.25">
      <c r="A57" s="440" t="s">
        <v>289</v>
      </c>
      <c r="B57" s="353" t="s">
        <v>290</v>
      </c>
      <c r="C57" s="353" t="s">
        <v>321</v>
      </c>
      <c r="D57" s="375" t="s">
        <v>115</v>
      </c>
      <c r="E57" s="375" t="s">
        <v>194</v>
      </c>
      <c r="F57" s="375" t="s">
        <v>194</v>
      </c>
      <c r="G57" s="375" t="s">
        <v>194</v>
      </c>
      <c r="H57" s="375" t="s">
        <v>194</v>
      </c>
      <c r="I57" s="375" t="s">
        <v>194</v>
      </c>
      <c r="J57" s="375" t="s">
        <v>194</v>
      </c>
      <c r="K57" s="403"/>
      <c r="L57" s="375" t="s">
        <v>292</v>
      </c>
      <c r="M57" s="466">
        <f>Gegevensblad!M58</f>
        <v>111.44175191793592</v>
      </c>
      <c r="N57" s="456">
        <f t="shared" ref="N57:N63" si="3">K57*M57</f>
        <v>0</v>
      </c>
      <c r="O57" s="377"/>
    </row>
    <row r="58" spans="1:15" ht="22.5" x14ac:dyDescent="0.25">
      <c r="A58" s="442" t="s">
        <v>293</v>
      </c>
      <c r="B58" s="354" t="s">
        <v>294</v>
      </c>
      <c r="C58" s="354" t="s">
        <v>295</v>
      </c>
      <c r="D58" s="434" t="s">
        <v>115</v>
      </c>
      <c r="E58" s="434" t="s">
        <v>115</v>
      </c>
      <c r="F58" s="434" t="s">
        <v>115</v>
      </c>
      <c r="G58" s="434" t="s">
        <v>115</v>
      </c>
      <c r="H58" s="434" t="s">
        <v>115</v>
      </c>
      <c r="I58" s="434" t="s">
        <v>115</v>
      </c>
      <c r="J58" s="434" t="s">
        <v>115</v>
      </c>
      <c r="K58" s="380" t="b">
        <f>IF('Invul- en verrekenblad'!B6="ja",IF('Invul- en verrekenblad'!B20=1,1,0))</f>
        <v>0</v>
      </c>
      <c r="L58" s="380" t="s">
        <v>292</v>
      </c>
      <c r="M58" s="464">
        <f>Gegevensblad!M59</f>
        <v>696.51094948709942</v>
      </c>
      <c r="N58" s="388">
        <f>IF('Invul- en verrekenblad'!B14=1,0,K58*M58)</f>
        <v>0</v>
      </c>
      <c r="O58" s="377"/>
    </row>
    <row r="59" spans="1:15" ht="45" x14ac:dyDescent="0.25">
      <c r="A59" s="447" t="s">
        <v>173</v>
      </c>
      <c r="B59" s="354" t="s">
        <v>174</v>
      </c>
      <c r="C59" s="354" t="s">
        <v>296</v>
      </c>
      <c r="D59" s="434" t="s">
        <v>203</v>
      </c>
      <c r="E59" s="434" t="s">
        <v>203</v>
      </c>
      <c r="F59" s="434" t="s">
        <v>203</v>
      </c>
      <c r="G59" s="434" t="s">
        <v>203</v>
      </c>
      <c r="H59" s="434" t="s">
        <v>203</v>
      </c>
      <c r="I59" s="434" t="s">
        <v>203</v>
      </c>
      <c r="J59" s="434" t="s">
        <v>203</v>
      </c>
      <c r="K59" s="380" t="b">
        <f>IF('Invul- en verrekenblad'!B20=1,IF('Invul- en verrekenblad'!B6="ja",IF(Variabelen!J35="ja",1,0)))</f>
        <v>0</v>
      </c>
      <c r="L59" s="393" t="s">
        <v>235</v>
      </c>
      <c r="M59" s="418">
        <f>Variabelen!$L$35</f>
        <v>0</v>
      </c>
      <c r="N59" s="388">
        <f t="shared" si="3"/>
        <v>0</v>
      </c>
      <c r="O59" s="377"/>
    </row>
    <row r="60" spans="1:15" ht="45" x14ac:dyDescent="0.25">
      <c r="A60" s="447" t="s">
        <v>175</v>
      </c>
      <c r="B60" s="354" t="s">
        <v>176</v>
      </c>
      <c r="C60" s="354" t="s">
        <v>296</v>
      </c>
      <c r="D60" s="434" t="s">
        <v>203</v>
      </c>
      <c r="E60" s="434" t="s">
        <v>203</v>
      </c>
      <c r="F60" s="434" t="s">
        <v>203</v>
      </c>
      <c r="G60" s="434" t="s">
        <v>203</v>
      </c>
      <c r="H60" s="434" t="s">
        <v>203</v>
      </c>
      <c r="I60" s="434" t="s">
        <v>203</v>
      </c>
      <c r="J60" s="434" t="s">
        <v>203</v>
      </c>
      <c r="K60" s="380" t="b">
        <f>IF('Invul- en verrekenblad'!B20=1,IF('Invul- en verrekenblad'!B6="ja",IF(Variabelen!J36="ja",1,0)))</f>
        <v>0</v>
      </c>
      <c r="L60" s="393" t="s">
        <v>235</v>
      </c>
      <c r="M60" s="418">
        <f>Variabelen!$L$36</f>
        <v>0</v>
      </c>
      <c r="N60" s="388">
        <f t="shared" si="3"/>
        <v>0</v>
      </c>
      <c r="O60" s="377"/>
    </row>
    <row r="61" spans="1:15" ht="33.75" x14ac:dyDescent="0.25">
      <c r="A61" s="447" t="s">
        <v>177</v>
      </c>
      <c r="B61" s="354" t="s">
        <v>297</v>
      </c>
      <c r="C61" s="354" t="s">
        <v>335</v>
      </c>
      <c r="D61" s="434" t="s">
        <v>203</v>
      </c>
      <c r="E61" s="434" t="s">
        <v>203</v>
      </c>
      <c r="F61" s="434" t="s">
        <v>203</v>
      </c>
      <c r="G61" s="434" t="s">
        <v>203</v>
      </c>
      <c r="H61" s="434" t="s">
        <v>203</v>
      </c>
      <c r="I61" s="434" t="s">
        <v>203</v>
      </c>
      <c r="J61" s="434" t="s">
        <v>203</v>
      </c>
      <c r="K61" s="380" t="b">
        <f>IF('Invul- en verrekenblad'!B20=1,IF('Invul- en verrekenblad'!B6="ja",IF(Variabelen!J37="ja",1,0)))</f>
        <v>0</v>
      </c>
      <c r="L61" s="380" t="s">
        <v>292</v>
      </c>
      <c r="M61" s="464">
        <f>Gegevensblad!M62</f>
        <v>55.720875958967959</v>
      </c>
      <c r="N61" s="388">
        <f t="shared" si="3"/>
        <v>0</v>
      </c>
      <c r="O61" s="377"/>
    </row>
    <row r="62" spans="1:15" ht="33.75" x14ac:dyDescent="0.25">
      <c r="A62" s="447" t="s">
        <v>179</v>
      </c>
      <c r="B62" s="354" t="s">
        <v>299</v>
      </c>
      <c r="C62" s="354" t="s">
        <v>300</v>
      </c>
      <c r="D62" s="434" t="s">
        <v>203</v>
      </c>
      <c r="E62" s="434" t="s">
        <v>203</v>
      </c>
      <c r="F62" s="434" t="s">
        <v>203</v>
      </c>
      <c r="G62" s="434" t="s">
        <v>203</v>
      </c>
      <c r="H62" s="434" t="s">
        <v>203</v>
      </c>
      <c r="I62" s="434" t="s">
        <v>203</v>
      </c>
      <c r="J62" s="434" t="s">
        <v>203</v>
      </c>
      <c r="K62" s="380" t="b">
        <f>IF('Invul- en verrekenblad'!B20=1,IF('Invul- en verrekenblad'!B6="ja",IF(Variabelen!J38="ja",1,0)))</f>
        <v>0</v>
      </c>
      <c r="L62" s="380" t="s">
        <v>292</v>
      </c>
      <c r="M62" s="464">
        <f>Gegevensblad!M63</f>
        <v>111.44175191793592</v>
      </c>
      <c r="N62" s="388">
        <f t="shared" si="3"/>
        <v>0</v>
      </c>
      <c r="O62" s="377"/>
    </row>
    <row r="63" spans="1:15" ht="23.25" thickBot="1" x14ac:dyDescent="0.3">
      <c r="A63" s="444" t="s">
        <v>181</v>
      </c>
      <c r="B63" s="356" t="s">
        <v>301</v>
      </c>
      <c r="C63" s="356" t="s">
        <v>302</v>
      </c>
      <c r="D63" s="445" t="s">
        <v>203</v>
      </c>
      <c r="E63" s="357" t="s">
        <v>194</v>
      </c>
      <c r="F63" s="357" t="s">
        <v>194</v>
      </c>
      <c r="G63" s="357" t="s">
        <v>194</v>
      </c>
      <c r="H63" s="357" t="s">
        <v>194</v>
      </c>
      <c r="I63" s="357" t="s">
        <v>194</v>
      </c>
      <c r="J63" s="357" t="s">
        <v>194</v>
      </c>
      <c r="K63" s="357"/>
      <c r="L63" s="357" t="s">
        <v>217</v>
      </c>
      <c r="M63" s="465">
        <f>Gegevensblad!M64</f>
        <v>428.10847288998912</v>
      </c>
      <c r="N63" s="391">
        <f t="shared" si="3"/>
        <v>0</v>
      </c>
      <c r="O63" s="377"/>
    </row>
    <row r="64" spans="1:15" ht="47.25" thickBot="1" x14ac:dyDescent="0.25">
      <c r="A64" s="427">
        <v>9</v>
      </c>
      <c r="B64" s="330" t="s">
        <v>304</v>
      </c>
      <c r="C64" s="327"/>
      <c r="D64" s="428" t="s">
        <v>313</v>
      </c>
      <c r="E64" s="429" t="s">
        <v>117</v>
      </c>
      <c r="F64" s="429" t="s">
        <v>118</v>
      </c>
      <c r="G64" s="430" t="s">
        <v>119</v>
      </c>
      <c r="H64" s="430" t="s">
        <v>120</v>
      </c>
      <c r="I64" s="431" t="s">
        <v>121</v>
      </c>
      <c r="J64" s="431" t="s">
        <v>122</v>
      </c>
      <c r="K64" s="372"/>
      <c r="L64" s="372" t="s">
        <v>188</v>
      </c>
      <c r="M64" s="410" t="str">
        <f>Gegevensblad!M65</f>
        <v>Prijs per eenheid (€)</v>
      </c>
      <c r="N64" s="385"/>
      <c r="O64" s="386"/>
    </row>
    <row r="65" spans="1:15" ht="45" x14ac:dyDescent="0.25">
      <c r="A65" s="440" t="s">
        <v>305</v>
      </c>
      <c r="B65" s="353" t="s">
        <v>306</v>
      </c>
      <c r="C65" s="353" t="s">
        <v>307</v>
      </c>
      <c r="D65" s="375" t="s">
        <v>194</v>
      </c>
      <c r="E65" s="375" t="s">
        <v>194</v>
      </c>
      <c r="F65" s="375" t="s">
        <v>194</v>
      </c>
      <c r="G65" s="375" t="s">
        <v>115</v>
      </c>
      <c r="H65" s="375" t="s">
        <v>115</v>
      </c>
      <c r="I65" s="375" t="s">
        <v>115</v>
      </c>
      <c r="J65" s="375" t="s">
        <v>115</v>
      </c>
      <c r="K65" s="380">
        <f>('Invul- en verrekenblad'!D20+'Invul- en verrekenblad'!E20)*'Invul- en verrekenblad'!C20</f>
        <v>0</v>
      </c>
      <c r="L65" s="463" t="s">
        <v>308</v>
      </c>
      <c r="M65" s="466">
        <f>Gegevensblad!M66</f>
        <v>50.727419026609816</v>
      </c>
      <c r="N65" s="387">
        <f>K65*M65</f>
        <v>0</v>
      </c>
      <c r="O65" s="377"/>
    </row>
    <row r="66" spans="1:15" ht="45.75" thickBot="1" x14ac:dyDescent="0.3">
      <c r="A66" s="469" t="s">
        <v>309</v>
      </c>
      <c r="B66" s="470" t="s">
        <v>310</v>
      </c>
      <c r="C66" s="470" t="s">
        <v>311</v>
      </c>
      <c r="D66" s="450" t="s">
        <v>194</v>
      </c>
      <c r="E66" s="450" t="s">
        <v>115</v>
      </c>
      <c r="F66" s="450" t="s">
        <v>115</v>
      </c>
      <c r="G66" s="450" t="s">
        <v>115</v>
      </c>
      <c r="H66" s="450" t="s">
        <v>115</v>
      </c>
      <c r="I66" s="450" t="s">
        <v>115</v>
      </c>
      <c r="J66" s="450" t="s">
        <v>115</v>
      </c>
      <c r="K66" s="450">
        <f>'Invul- en verrekenblad'!C20*('Invul- en verrekenblad'!D20+'Invul- en verrekenblad'!E20)</f>
        <v>0</v>
      </c>
      <c r="L66" s="451" t="s">
        <v>308</v>
      </c>
      <c r="M66" s="467">
        <f>Gegevensblad!M67</f>
        <v>108.36954890453575</v>
      </c>
      <c r="N66" s="398">
        <f>K66*M66</f>
        <v>0</v>
      </c>
    </row>
    <row r="67" spans="1:15" ht="15.75" x14ac:dyDescent="0.25">
      <c r="D67" s="454" t="s">
        <v>115</v>
      </c>
      <c r="E67" s="454" t="s">
        <v>115</v>
      </c>
      <c r="F67" s="454" t="s">
        <v>115</v>
      </c>
      <c r="G67" s="454" t="s">
        <v>115</v>
      </c>
      <c r="H67" s="454" t="s">
        <v>115</v>
      </c>
      <c r="I67" s="454" t="s">
        <v>115</v>
      </c>
      <c r="J67" s="454" t="s">
        <v>115</v>
      </c>
      <c r="N67" s="402">
        <f>SUBTOTAL(9,N10:N66)</f>
        <v>0</v>
      </c>
    </row>
    <row r="70" spans="1:15" ht="10.15" customHeight="1" x14ac:dyDescent="0.25"/>
  </sheetData>
  <sheetProtection algorithmName="SHA-512" hashValue="/6lIXAuwW/lV0dM3yi87fN97jI/WIZISEDPUQ3GvuDxqxhe3myzIry3GOc/yw33itpINxHFjgCTBBwJTXWLh2w==" saltValue="IML0sK3AtF14c4C4eUVKqQ==" spinCount="100000" sheet="1" selectLockedCells="1"/>
  <autoFilter ref="A8:N8" xr:uid="{00000000-0001-0000-0900-000000000000}">
    <filterColumn colId="3" showButton="0"/>
    <filterColumn colId="4" showButton="0"/>
    <filterColumn colId="5" showButton="0"/>
    <filterColumn colId="6" showButton="0"/>
    <filterColumn colId="7" showButton="0"/>
    <filterColumn colId="8" showButton="0"/>
    <filterColumn colId="11" showButton="0"/>
  </autoFilter>
  <mergeCells count="3">
    <mergeCell ref="D8:J8"/>
    <mergeCell ref="L8:M8"/>
    <mergeCell ref="B34:C34"/>
  </mergeCells>
  <conditionalFormatting sqref="D16:D18 E16:J21 D20:D21 D22:J23 D24:D26 E24:J66 D28:D29 D31:D33 D52:D55 D57:D63 D65:D66">
    <cfRule type="containsText" dxfId="20" priority="31" operator="containsText" text="nee">
      <formula>NOT(ISERROR(SEARCH("nee",D16)))</formula>
    </cfRule>
    <cfRule type="containsText" dxfId="19" priority="32" operator="containsText" text="optie">
      <formula>NOT(ISERROR(SEARCH("optie",D16)))</formula>
    </cfRule>
    <cfRule type="containsText" dxfId="18" priority="33" operator="containsText" text="ja">
      <formula>NOT(ISERROR(SEARCH("ja",D16)))</formula>
    </cfRule>
  </conditionalFormatting>
  <conditionalFormatting sqref="D35:D43">
    <cfRule type="containsText" dxfId="17" priority="16" operator="containsText" text="nee">
      <formula>NOT(ISERROR(SEARCH("nee",D35)))</formula>
    </cfRule>
    <cfRule type="containsText" dxfId="16" priority="17" operator="containsText" text="optie">
      <formula>NOT(ISERROR(SEARCH("optie",D35)))</formula>
    </cfRule>
    <cfRule type="containsText" dxfId="15" priority="18" operator="containsText" text="ja">
      <formula>NOT(ISERROR(SEARCH("ja",D35)))</formula>
    </cfRule>
  </conditionalFormatting>
  <conditionalFormatting sqref="D45:D50">
    <cfRule type="containsText" dxfId="14" priority="10" operator="containsText" text="nee">
      <formula>NOT(ISERROR(SEARCH("nee",D45)))</formula>
    </cfRule>
    <cfRule type="containsText" dxfId="13" priority="11" operator="containsText" text="optie">
      <formula>NOT(ISERROR(SEARCH("optie",D45)))</formula>
    </cfRule>
    <cfRule type="containsText" dxfId="12" priority="12" operator="containsText" text="ja">
      <formula>NOT(ISERROR(SEARCH("ja",D45)))</formula>
    </cfRule>
  </conditionalFormatting>
  <conditionalFormatting sqref="D10:J15">
    <cfRule type="containsText" dxfId="11" priority="1" operator="containsText" text="nee">
      <formula>NOT(ISERROR(SEARCH("nee",D10)))</formula>
    </cfRule>
    <cfRule type="containsText" dxfId="10" priority="2" operator="containsText" text="optie">
      <formula>NOT(ISERROR(SEARCH("optie",D10)))</formula>
    </cfRule>
    <cfRule type="containsText" dxfId="9" priority="3" operator="containsText" text="ja">
      <formula>NOT(ISERROR(SEARCH("ja",D10)))</formula>
    </cfRule>
  </conditionalFormatting>
  <pageMargins left="0.25" right="0.25" top="0.75" bottom="0.75" header="0.3" footer="0.3"/>
  <pageSetup paperSize="8" fitToHeight="0"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2">
    <tabColor rgb="FF002060"/>
    <pageSetUpPr fitToPage="1"/>
  </sheetPr>
  <dimension ref="A1:U112"/>
  <sheetViews>
    <sheetView showGridLines="0" zoomScale="115" zoomScaleNormal="115" workbookViewId="0">
      <pane xSplit="2" ySplit="8" topLeftCell="C41" activePane="bottomRight" state="frozen"/>
      <selection pane="topRight" activeCell="U28" sqref="U28"/>
      <selection pane="bottomLeft" activeCell="U28" sqref="U28"/>
      <selection pane="bottomRight" activeCell="U28" sqref="U28"/>
    </sheetView>
  </sheetViews>
  <sheetFormatPr defaultColWidth="8.7109375" defaultRowHeight="11.25" outlineLevelCol="1" x14ac:dyDescent="0.25"/>
  <cols>
    <col min="1" max="1" width="12.7109375" style="2" customWidth="1"/>
    <col min="2" max="2" width="39.85546875" style="2" customWidth="1"/>
    <col min="3" max="3" width="45.5703125" style="2" customWidth="1"/>
    <col min="4" max="4" width="3.7109375" style="2" customWidth="1" outlineLevel="1"/>
    <col min="5" max="10" width="5.28515625" style="2" customWidth="1" outlineLevel="1"/>
    <col min="11" max="11" width="9.7109375" style="244" customWidth="1"/>
    <col min="12" max="12" width="8.140625" style="244" bestFit="1" customWidth="1"/>
    <col min="13" max="13" width="8.28515625" style="245" bestFit="1" customWidth="1"/>
    <col min="14" max="14" width="8.28515625" style="245" customWidth="1"/>
    <col min="15" max="15" width="17.42578125" style="245" customWidth="1"/>
    <col min="16" max="16" width="11.42578125" style="245" hidden="1" customWidth="1"/>
    <col min="17" max="17" width="12.42578125" style="245" hidden="1" customWidth="1"/>
    <col min="18" max="18" width="10" style="2" hidden="1" customWidth="1"/>
    <col min="19" max="21" width="8.7109375" style="2" hidden="1" customWidth="1"/>
    <col min="22" max="30" width="8.7109375" style="2" customWidth="1"/>
    <col min="31" max="16384" width="8.7109375" style="2"/>
  </cols>
  <sheetData>
    <row r="1" spans="1:21" s="6" customFormat="1" ht="48" customHeight="1" x14ac:dyDescent="0.35">
      <c r="A1" s="144" t="s">
        <v>66</v>
      </c>
      <c r="B1" s="144"/>
      <c r="C1" s="144"/>
      <c r="D1" s="144"/>
      <c r="E1" s="144"/>
      <c r="F1" s="144"/>
      <c r="G1" s="144"/>
      <c r="H1" s="144"/>
      <c r="I1" s="144"/>
      <c r="J1" s="144"/>
      <c r="K1" s="144"/>
      <c r="L1" s="144"/>
      <c r="M1" s="144"/>
      <c r="N1" s="144"/>
      <c r="O1" s="144"/>
      <c r="P1" s="144"/>
      <c r="Q1" s="263" t="s">
        <v>336</v>
      </c>
      <c r="R1" s="232" t="s">
        <v>337</v>
      </c>
      <c r="S1" s="232" t="s">
        <v>338</v>
      </c>
      <c r="T1" s="232" t="s">
        <v>339</v>
      </c>
      <c r="U1" s="232" t="s">
        <v>340</v>
      </c>
    </row>
    <row r="2" spans="1:21" s="161" customFormat="1" ht="24" thickBot="1" x14ac:dyDescent="0.4">
      <c r="A2" s="160" t="s">
        <v>114</v>
      </c>
      <c r="M2" s="162"/>
      <c r="N2" s="162"/>
      <c r="O2" s="144"/>
      <c r="P2" s="162"/>
      <c r="Q2" s="233" t="s">
        <v>341</v>
      </c>
      <c r="R2" s="234">
        <v>237.4</v>
      </c>
      <c r="S2" s="234">
        <v>246.1</v>
      </c>
      <c r="T2" s="234">
        <v>312.8</v>
      </c>
      <c r="U2" s="234">
        <v>314.2</v>
      </c>
    </row>
    <row r="3" spans="1:21" s="161" customFormat="1" ht="24" thickBot="1" x14ac:dyDescent="0.4">
      <c r="A3" s="161" t="s">
        <v>72</v>
      </c>
      <c r="B3" s="163" t="str" cm="1">
        <f t="array" ref="B3:C3">'Invul- en verrekenblad'!E5:F5</f>
        <v>CROW400 Definitief versie 1.3 - 2026</v>
      </c>
      <c r="C3" s="161">
        <v>0</v>
      </c>
      <c r="M3" s="162"/>
      <c r="N3" s="162"/>
      <c r="O3" s="144"/>
      <c r="P3" s="162"/>
      <c r="Q3" s="494" t="s">
        <v>342</v>
      </c>
      <c r="R3" s="495"/>
      <c r="S3" s="495"/>
      <c r="T3" s="495"/>
      <c r="U3" s="496"/>
    </row>
    <row r="4" spans="1:21" s="161" customFormat="1" ht="13.9" customHeight="1" x14ac:dyDescent="0.35">
      <c r="A4" s="161" t="s">
        <v>74</v>
      </c>
      <c r="B4" s="265">
        <f>'Invul- en verrekenblad'!E6</f>
        <v>46119</v>
      </c>
      <c r="M4" s="162"/>
      <c r="N4" s="162"/>
      <c r="O4" s="144"/>
      <c r="P4" s="162"/>
      <c r="Q4" s="264"/>
      <c r="R4"/>
      <c r="S4"/>
      <c r="T4"/>
    </row>
    <row r="5" spans="1:21" s="161" customFormat="1" ht="24" thickBot="1" x14ac:dyDescent="0.4">
      <c r="A5" s="161" t="s">
        <v>76</v>
      </c>
      <c r="B5" s="164" t="str">
        <f>'Invul- en verrekenblad'!E7</f>
        <v>Alliander SRM Sourcing - Contractmanagement Aannemerij</v>
      </c>
      <c r="M5" s="162"/>
      <c r="N5" s="162"/>
      <c r="O5" s="144"/>
      <c r="P5" s="162"/>
      <c r="Q5" s="144"/>
    </row>
    <row r="6" spans="1:21" s="161" customFormat="1" ht="24" hidden="1" thickBot="1" x14ac:dyDescent="0.4">
      <c r="C6" s="8"/>
      <c r="M6" s="162"/>
      <c r="N6" s="162"/>
      <c r="O6" s="144"/>
      <c r="P6" s="162"/>
      <c r="Q6" s="144"/>
    </row>
    <row r="7" spans="1:21" s="6" customFormat="1" ht="24" hidden="1" thickBot="1" x14ac:dyDescent="0.4">
      <c r="C7" s="7"/>
      <c r="M7" s="128"/>
      <c r="N7" s="128"/>
      <c r="O7" s="144"/>
      <c r="P7" s="128"/>
      <c r="Q7" s="144"/>
    </row>
    <row r="8" spans="1:21" s="6" customFormat="1" ht="23.25" customHeight="1" thickBot="1" x14ac:dyDescent="0.4">
      <c r="A8" s="165" t="s">
        <v>184</v>
      </c>
      <c r="B8" s="166" t="s">
        <v>185</v>
      </c>
      <c r="C8" s="166" t="s">
        <v>186</v>
      </c>
      <c r="D8" s="503"/>
      <c r="E8" s="503"/>
      <c r="F8" s="503"/>
      <c r="G8" s="503"/>
      <c r="H8" s="503"/>
      <c r="I8" s="503"/>
      <c r="J8" s="503"/>
      <c r="K8" s="269"/>
      <c r="L8" s="503"/>
      <c r="M8" s="503"/>
      <c r="N8" s="195"/>
      <c r="O8" s="144"/>
      <c r="P8" s="196" t="s">
        <v>343</v>
      </c>
      <c r="Q8" s="262" t="s">
        <v>344</v>
      </c>
      <c r="R8" s="196" t="s">
        <v>345</v>
      </c>
    </row>
    <row r="9" spans="1:21" s="6" customFormat="1" ht="51" customHeight="1" thickBot="1" x14ac:dyDescent="0.4">
      <c r="A9" s="167">
        <v>1</v>
      </c>
      <c r="B9" s="168" t="s">
        <v>124</v>
      </c>
      <c r="C9" s="169"/>
      <c r="D9" s="217" t="s">
        <v>88</v>
      </c>
      <c r="E9" s="170" t="s">
        <v>117</v>
      </c>
      <c r="F9" s="170" t="s">
        <v>118</v>
      </c>
      <c r="G9" s="171" t="s">
        <v>119</v>
      </c>
      <c r="H9" s="171" t="s">
        <v>120</v>
      </c>
      <c r="I9" s="172" t="s">
        <v>121</v>
      </c>
      <c r="J9" s="172" t="s">
        <v>122</v>
      </c>
      <c r="K9" s="173" t="s">
        <v>187</v>
      </c>
      <c r="L9" s="173" t="s">
        <v>188</v>
      </c>
      <c r="M9" s="196" t="s">
        <v>189</v>
      </c>
      <c r="N9" s="147" t="s">
        <v>190</v>
      </c>
      <c r="O9" s="144"/>
      <c r="P9" s="196" t="s">
        <v>189</v>
      </c>
      <c r="Q9" s="196" t="s">
        <v>189</v>
      </c>
      <c r="R9" s="235"/>
      <c r="T9"/>
    </row>
    <row r="10" spans="1:21" s="1" customFormat="1" ht="36" x14ac:dyDescent="0.35">
      <c r="A10" s="176" t="s">
        <v>191</v>
      </c>
      <c r="B10" s="5" t="s">
        <v>192</v>
      </c>
      <c r="C10" s="5" t="s">
        <v>193</v>
      </c>
      <c r="D10" s="149" t="s">
        <v>194</v>
      </c>
      <c r="E10" s="149" t="s">
        <v>115</v>
      </c>
      <c r="F10" s="149" t="s">
        <v>115</v>
      </c>
      <c r="G10" s="149" t="s">
        <v>115</v>
      </c>
      <c r="H10" s="149" t="s">
        <v>115</v>
      </c>
      <c r="I10" s="149" t="s">
        <v>115</v>
      </c>
      <c r="J10" s="149" t="s">
        <v>115</v>
      </c>
      <c r="K10" s="149"/>
      <c r="L10" s="149" t="s">
        <v>195</v>
      </c>
      <c r="M10" s="236">
        <v>788.15229749355558</v>
      </c>
      <c r="N10" s="237">
        <f>IF('Invul- en verrekenblad'!B5="1.1  Aansluitingen + Net",K10*M10,0)</f>
        <v>0</v>
      </c>
      <c r="O10" s="144"/>
      <c r="P10" s="236">
        <v>761.47152029498909</v>
      </c>
      <c r="Q10" s="236">
        <f>P10*(0.95*($S$2/$R$2)+0.05*($U$2/$T$2))</f>
        <v>788.15229749355558</v>
      </c>
      <c r="R10" s="238">
        <f>Q10/P10</f>
        <v>1.0350384439699472</v>
      </c>
    </row>
    <row r="11" spans="1:21" s="1" customFormat="1" ht="33.75" x14ac:dyDescent="0.35">
      <c r="A11" s="176" t="s">
        <v>196</v>
      </c>
      <c r="B11" s="3" t="s">
        <v>197</v>
      </c>
      <c r="C11" s="3" t="s">
        <v>193</v>
      </c>
      <c r="D11" s="133" t="s">
        <v>194</v>
      </c>
      <c r="E11" s="133" t="s">
        <v>115</v>
      </c>
      <c r="F11" s="133" t="s">
        <v>115</v>
      </c>
      <c r="G11" s="133" t="s">
        <v>115</v>
      </c>
      <c r="H11" s="133" t="s">
        <v>115</v>
      </c>
      <c r="I11" s="133" t="s">
        <v>115</v>
      </c>
      <c r="J11" s="133" t="s">
        <v>115</v>
      </c>
      <c r="K11" s="133"/>
      <c r="L11" s="133" t="s">
        <v>195</v>
      </c>
      <c r="M11" s="236">
        <v>685.99735823544768</v>
      </c>
      <c r="N11" s="239">
        <f>IF('Invul- en verrekenblad'!B5="1.1a Aansluitingen",K11*M11,0)</f>
        <v>0</v>
      </c>
      <c r="O11" s="144"/>
      <c r="P11" s="236">
        <v>662.7747618767346</v>
      </c>
      <c r="Q11" s="236">
        <f t="shared" ref="Q11:Q67" si="0">P11*(0.95*($S$2/$R$2)+0.05*($U$2/$T$2))</f>
        <v>685.99735823544768</v>
      </c>
      <c r="R11" s="238">
        <f t="shared" ref="R11:R67" si="1">Q11/P11</f>
        <v>1.0350384439699472</v>
      </c>
    </row>
    <row r="12" spans="1:21" s="1" customFormat="1" ht="33.75" x14ac:dyDescent="0.35">
      <c r="A12" s="176" t="s">
        <v>198</v>
      </c>
      <c r="B12" s="3" t="s">
        <v>199</v>
      </c>
      <c r="C12" s="3" t="s">
        <v>193</v>
      </c>
      <c r="D12" s="133" t="s">
        <v>194</v>
      </c>
      <c r="E12" s="133" t="s">
        <v>115</v>
      </c>
      <c r="F12" s="133" t="s">
        <v>115</v>
      </c>
      <c r="G12" s="133" t="s">
        <v>115</v>
      </c>
      <c r="H12" s="133" t="s">
        <v>115</v>
      </c>
      <c r="I12" s="133" t="s">
        <v>115</v>
      </c>
      <c r="J12" s="133" t="s">
        <v>115</v>
      </c>
      <c r="K12" s="133"/>
      <c r="L12" s="133" t="s">
        <v>195</v>
      </c>
      <c r="M12" s="236">
        <v>903.01067714958174</v>
      </c>
      <c r="N12" s="239">
        <f>IF('Invul- en verrekenblad'!B5="1.1b Net",K12*M12,0)</f>
        <v>0</v>
      </c>
      <c r="O12" s="144"/>
      <c r="P12" s="236">
        <v>872.44167828784634</v>
      </c>
      <c r="Q12" s="236">
        <f t="shared" si="0"/>
        <v>903.01067714958174</v>
      </c>
      <c r="R12" s="238">
        <f t="shared" si="1"/>
        <v>1.0350384439699472</v>
      </c>
    </row>
    <row r="13" spans="1:21" s="1" customFormat="1" ht="49.5" customHeight="1" x14ac:dyDescent="0.35">
      <c r="A13" s="176" t="s">
        <v>200</v>
      </c>
      <c r="B13" s="3" t="s">
        <v>201</v>
      </c>
      <c r="C13" s="3" t="s">
        <v>202</v>
      </c>
      <c r="D13" s="133" t="s">
        <v>194</v>
      </c>
      <c r="E13" s="177" t="s">
        <v>203</v>
      </c>
      <c r="F13" s="177" t="s">
        <v>203</v>
      </c>
      <c r="G13" s="177" t="s">
        <v>203</v>
      </c>
      <c r="H13" s="177" t="s">
        <v>203</v>
      </c>
      <c r="I13" s="177" t="s">
        <v>203</v>
      </c>
      <c r="J13" s="177" t="s">
        <v>203</v>
      </c>
      <c r="K13" s="133"/>
      <c r="L13" s="133" t="s">
        <v>195</v>
      </c>
      <c r="M13" s="236">
        <v>13.93021898974199</v>
      </c>
      <c r="N13" s="239">
        <f>IF('Invul- en verrekenblad'!B5="1.1  Aansluitingen + Net",K13*M13,0)</f>
        <v>0</v>
      </c>
      <c r="O13" s="144"/>
      <c r="P13" s="236">
        <v>13.458648875216523</v>
      </c>
      <c r="Q13" s="236">
        <f t="shared" si="0"/>
        <v>13.93021898974199</v>
      </c>
      <c r="R13" s="238">
        <f t="shared" si="1"/>
        <v>1.0350384439699472</v>
      </c>
    </row>
    <row r="14" spans="1:21" s="1" customFormat="1" ht="49.5" customHeight="1" x14ac:dyDescent="0.35">
      <c r="A14" s="176" t="s">
        <v>314</v>
      </c>
      <c r="B14" s="3" t="s">
        <v>201</v>
      </c>
      <c r="C14" s="3" t="s">
        <v>202</v>
      </c>
      <c r="D14" s="133" t="s">
        <v>194</v>
      </c>
      <c r="E14" s="177" t="s">
        <v>203</v>
      </c>
      <c r="F14" s="177" t="s">
        <v>203</v>
      </c>
      <c r="G14" s="177" t="s">
        <v>203</v>
      </c>
      <c r="H14" s="177" t="s">
        <v>203</v>
      </c>
      <c r="I14" s="177" t="s">
        <v>203</v>
      </c>
      <c r="J14" s="177" t="s">
        <v>203</v>
      </c>
      <c r="K14" s="133"/>
      <c r="L14" s="133" t="s">
        <v>195</v>
      </c>
      <c r="M14" s="236">
        <v>0</v>
      </c>
      <c r="N14" s="239">
        <f>IF('Invul- en verrekenblad'!B6="1.1a Aansluitingen",K14*M14,0)</f>
        <v>0</v>
      </c>
      <c r="O14" s="144"/>
      <c r="P14" s="236">
        <v>0</v>
      </c>
      <c r="Q14" s="236">
        <f t="shared" si="0"/>
        <v>0</v>
      </c>
      <c r="R14" s="238" t="e">
        <f t="shared" si="1"/>
        <v>#DIV/0!</v>
      </c>
    </row>
    <row r="15" spans="1:21" s="1" customFormat="1" ht="45.75" customHeight="1" x14ac:dyDescent="0.35">
      <c r="A15" s="176" t="s">
        <v>315</v>
      </c>
      <c r="B15" s="3" t="s">
        <v>201</v>
      </c>
      <c r="C15" s="3" t="s">
        <v>202</v>
      </c>
      <c r="D15" s="133" t="s">
        <v>194</v>
      </c>
      <c r="E15" s="177" t="s">
        <v>203</v>
      </c>
      <c r="F15" s="177" t="s">
        <v>203</v>
      </c>
      <c r="G15" s="177" t="s">
        <v>203</v>
      </c>
      <c r="H15" s="177" t="s">
        <v>203</v>
      </c>
      <c r="I15" s="177" t="s">
        <v>203</v>
      </c>
      <c r="J15" s="177" t="s">
        <v>203</v>
      </c>
      <c r="K15" s="133"/>
      <c r="L15" s="133" t="s">
        <v>195</v>
      </c>
      <c r="M15" s="236">
        <v>27.860437979483979</v>
      </c>
      <c r="N15" s="239">
        <f>IF('Invul- en verrekenblad'!B7="1.1b Net",K15*M15,0)</f>
        <v>0</v>
      </c>
      <c r="O15" s="144"/>
      <c r="P15" s="236">
        <v>26.917297750433047</v>
      </c>
      <c r="Q15" s="236">
        <f t="shared" si="0"/>
        <v>27.860437979483979</v>
      </c>
      <c r="R15" s="238">
        <f t="shared" si="1"/>
        <v>1.0350384439699472</v>
      </c>
    </row>
    <row r="16" spans="1:21" s="1" customFormat="1" ht="39.75" customHeight="1" x14ac:dyDescent="0.35">
      <c r="A16" s="178" t="s">
        <v>204</v>
      </c>
      <c r="B16" s="3" t="s">
        <v>205</v>
      </c>
      <c r="C16" s="179" t="s">
        <v>206</v>
      </c>
      <c r="D16" s="133" t="s">
        <v>194</v>
      </c>
      <c r="E16" s="133" t="s">
        <v>115</v>
      </c>
      <c r="F16" s="133" t="s">
        <v>115</v>
      </c>
      <c r="G16" s="133" t="s">
        <v>115</v>
      </c>
      <c r="H16" s="133" t="s">
        <v>115</v>
      </c>
      <c r="I16" s="133" t="s">
        <v>115</v>
      </c>
      <c r="J16" s="133" t="s">
        <v>207</v>
      </c>
      <c r="K16" s="133"/>
      <c r="L16" s="133" t="s">
        <v>195</v>
      </c>
      <c r="M16" s="236">
        <v>297.67270594861179</v>
      </c>
      <c r="N16" s="239">
        <f>K16*M16</f>
        <v>0</v>
      </c>
      <c r="O16" s="144"/>
      <c r="P16" s="236">
        <v>287.59579673859423</v>
      </c>
      <c r="Q16" s="236">
        <f t="shared" si="0"/>
        <v>297.67270594861179</v>
      </c>
      <c r="R16" s="238">
        <f t="shared" si="1"/>
        <v>1.0350384439699472</v>
      </c>
    </row>
    <row r="17" spans="1:18" ht="56.25" x14ac:dyDescent="0.35">
      <c r="A17" s="178" t="s">
        <v>208</v>
      </c>
      <c r="B17" s="3" t="s">
        <v>209</v>
      </c>
      <c r="C17" s="134" t="s">
        <v>210</v>
      </c>
      <c r="D17" s="133" t="s">
        <v>194</v>
      </c>
      <c r="E17" s="133" t="s">
        <v>194</v>
      </c>
      <c r="F17" s="133" t="s">
        <v>194</v>
      </c>
      <c r="G17" s="133" t="s">
        <v>115</v>
      </c>
      <c r="H17" s="133" t="s">
        <v>115</v>
      </c>
      <c r="I17" s="133" t="s">
        <v>115</v>
      </c>
      <c r="J17" s="133" t="s">
        <v>207</v>
      </c>
      <c r="K17" s="133"/>
      <c r="L17" s="133" t="s">
        <v>195</v>
      </c>
      <c r="M17" s="236">
        <v>222.88350383587184</v>
      </c>
      <c r="N17" s="239">
        <f>K17*M17</f>
        <v>0</v>
      </c>
      <c r="O17" s="144"/>
      <c r="P17" s="236">
        <v>215.33838200346437</v>
      </c>
      <c r="Q17" s="236">
        <f t="shared" si="0"/>
        <v>222.88350383587184</v>
      </c>
      <c r="R17" s="238">
        <f t="shared" si="1"/>
        <v>1.0350384439699472</v>
      </c>
    </row>
    <row r="18" spans="1:18" ht="24" thickBot="1" x14ac:dyDescent="0.4">
      <c r="A18" s="180" t="s">
        <v>211</v>
      </c>
      <c r="B18" s="181" t="s">
        <v>212</v>
      </c>
      <c r="C18" s="181" t="s">
        <v>213</v>
      </c>
      <c r="D18" s="148" t="s">
        <v>194</v>
      </c>
      <c r="E18" s="148" t="s">
        <v>194</v>
      </c>
      <c r="F18" s="148" t="s">
        <v>194</v>
      </c>
      <c r="G18" s="148" t="s">
        <v>115</v>
      </c>
      <c r="H18" s="148" t="s">
        <v>115</v>
      </c>
      <c r="I18" s="148" t="s">
        <v>115</v>
      </c>
      <c r="J18" s="148" t="s">
        <v>115</v>
      </c>
      <c r="K18" s="148"/>
      <c r="L18" s="148" t="s">
        <v>195</v>
      </c>
      <c r="M18" s="236">
        <v>118.65161551936055</v>
      </c>
      <c r="N18" s="240">
        <f>K18*M18</f>
        <v>0</v>
      </c>
      <c r="O18" s="144"/>
      <c r="P18" s="236">
        <v>114.63498405360261</v>
      </c>
      <c r="Q18" s="236">
        <f t="shared" si="0"/>
        <v>118.65161551936055</v>
      </c>
      <c r="R18" s="238">
        <f t="shared" si="1"/>
        <v>1.0350384439699472</v>
      </c>
    </row>
    <row r="19" spans="1:18" ht="51" customHeight="1" thickBot="1" x14ac:dyDescent="0.4">
      <c r="A19" s="182">
        <v>2</v>
      </c>
      <c r="B19" s="168" t="s">
        <v>127</v>
      </c>
      <c r="C19" s="169"/>
      <c r="D19" s="217" t="s">
        <v>88</v>
      </c>
      <c r="E19" s="170" t="s">
        <v>117</v>
      </c>
      <c r="F19" s="170" t="s">
        <v>118</v>
      </c>
      <c r="G19" s="171" t="s">
        <v>119</v>
      </c>
      <c r="H19" s="171" t="s">
        <v>120</v>
      </c>
      <c r="I19" s="172" t="s">
        <v>121</v>
      </c>
      <c r="J19" s="172" t="s">
        <v>122</v>
      </c>
      <c r="K19" s="173"/>
      <c r="L19" s="173" t="s">
        <v>188</v>
      </c>
      <c r="M19" s="196" t="s">
        <v>346</v>
      </c>
      <c r="N19" s="174"/>
      <c r="O19" s="144"/>
      <c r="P19" s="196" t="s">
        <v>346</v>
      </c>
      <c r="Q19" s="196" t="s">
        <v>346</v>
      </c>
      <c r="R19" s="238" t="e">
        <f t="shared" si="1"/>
        <v>#VALUE!</v>
      </c>
    </row>
    <row r="20" spans="1:18" ht="33.75" x14ac:dyDescent="0.35">
      <c r="A20" s="183" t="s">
        <v>214</v>
      </c>
      <c r="B20" s="5" t="s">
        <v>215</v>
      </c>
      <c r="C20" s="5" t="s">
        <v>216</v>
      </c>
      <c r="D20" s="149" t="s">
        <v>194</v>
      </c>
      <c r="E20" s="184" t="s">
        <v>115</v>
      </c>
      <c r="F20" s="184" t="s">
        <v>115</v>
      </c>
      <c r="G20" s="184" t="s">
        <v>115</v>
      </c>
      <c r="H20" s="149" t="s">
        <v>194</v>
      </c>
      <c r="I20" s="149" t="s">
        <v>194</v>
      </c>
      <c r="J20" s="149" t="s">
        <v>194</v>
      </c>
      <c r="K20" s="149"/>
      <c r="L20" s="149" t="s">
        <v>217</v>
      </c>
      <c r="M20" s="236">
        <v>811.64024501280403</v>
      </c>
      <c r="N20" s="185">
        <f t="shared" ref="N20:N26" si="2">K20*M20</f>
        <v>0</v>
      </c>
      <c r="O20" s="144"/>
      <c r="P20" s="236">
        <v>784.1643464949118</v>
      </c>
      <c r="Q20" s="236">
        <f t="shared" si="0"/>
        <v>811.64024501280403</v>
      </c>
      <c r="R20" s="238">
        <f t="shared" si="1"/>
        <v>1.0350384439699472</v>
      </c>
    </row>
    <row r="21" spans="1:18" ht="33.75" x14ac:dyDescent="0.35">
      <c r="A21" s="4" t="s">
        <v>218</v>
      </c>
      <c r="B21" s="3" t="s">
        <v>219</v>
      </c>
      <c r="C21" s="3" t="s">
        <v>220</v>
      </c>
      <c r="D21" s="133" t="s">
        <v>194</v>
      </c>
      <c r="E21" s="133" t="s">
        <v>194</v>
      </c>
      <c r="F21" s="133" t="s">
        <v>194</v>
      </c>
      <c r="G21" s="133" t="s">
        <v>194</v>
      </c>
      <c r="H21" s="146" t="s">
        <v>115</v>
      </c>
      <c r="I21" s="146" t="s">
        <v>115</v>
      </c>
      <c r="J21" s="146" t="s">
        <v>115</v>
      </c>
      <c r="K21" s="133"/>
      <c r="L21" s="133" t="s">
        <v>217</v>
      </c>
      <c r="M21" s="236">
        <v>811.64024501280403</v>
      </c>
      <c r="N21" s="186">
        <f t="shared" si="2"/>
        <v>0</v>
      </c>
      <c r="O21" s="144"/>
      <c r="P21" s="236">
        <v>784.1643464949118</v>
      </c>
      <c r="Q21" s="236">
        <f t="shared" si="0"/>
        <v>811.64024501280403</v>
      </c>
      <c r="R21" s="238">
        <f t="shared" si="1"/>
        <v>1.0350384439699472</v>
      </c>
    </row>
    <row r="22" spans="1:18" ht="33.75" x14ac:dyDescent="0.35">
      <c r="A22" s="4" t="s">
        <v>221</v>
      </c>
      <c r="B22" s="3" t="s">
        <v>222</v>
      </c>
      <c r="C22" s="3" t="s">
        <v>223</v>
      </c>
      <c r="D22" s="133" t="s">
        <v>194</v>
      </c>
      <c r="E22" s="184" t="s">
        <v>115</v>
      </c>
      <c r="F22" s="184" t="s">
        <v>115</v>
      </c>
      <c r="G22" s="184" t="s">
        <v>115</v>
      </c>
      <c r="H22" s="133" t="s">
        <v>194</v>
      </c>
      <c r="I22" s="133" t="s">
        <v>194</v>
      </c>
      <c r="J22" s="133" t="s">
        <v>194</v>
      </c>
      <c r="K22" s="133"/>
      <c r="L22" s="133" t="s">
        <v>217</v>
      </c>
      <c r="M22" s="236">
        <v>0</v>
      </c>
      <c r="N22" s="186">
        <f t="shared" si="2"/>
        <v>0</v>
      </c>
      <c r="O22" s="144"/>
      <c r="P22" s="236">
        <v>0</v>
      </c>
      <c r="Q22" s="236">
        <f t="shared" si="0"/>
        <v>0</v>
      </c>
      <c r="R22" s="238" t="e">
        <f t="shared" si="1"/>
        <v>#DIV/0!</v>
      </c>
    </row>
    <row r="23" spans="1:18" ht="33.75" x14ac:dyDescent="0.35">
      <c r="A23" s="4" t="s">
        <v>224</v>
      </c>
      <c r="B23" s="3" t="s">
        <v>225</v>
      </c>
      <c r="C23" s="3" t="s">
        <v>226</v>
      </c>
      <c r="D23" s="133" t="s">
        <v>194</v>
      </c>
      <c r="E23" s="133" t="s">
        <v>194</v>
      </c>
      <c r="F23" s="133" t="s">
        <v>194</v>
      </c>
      <c r="G23" s="133" t="s">
        <v>194</v>
      </c>
      <c r="H23" s="146" t="s">
        <v>115</v>
      </c>
      <c r="I23" s="146" t="s">
        <v>115</v>
      </c>
      <c r="J23" s="146" t="s">
        <v>115</v>
      </c>
      <c r="K23" s="133"/>
      <c r="L23" s="133" t="s">
        <v>217</v>
      </c>
      <c r="M23" s="236">
        <v>0</v>
      </c>
      <c r="N23" s="186">
        <f t="shared" si="2"/>
        <v>0</v>
      </c>
      <c r="O23" s="144"/>
      <c r="P23" s="236">
        <v>0</v>
      </c>
      <c r="Q23" s="236">
        <f t="shared" si="0"/>
        <v>0</v>
      </c>
      <c r="R23" s="238" t="e">
        <f t="shared" si="1"/>
        <v>#DIV/0!</v>
      </c>
    </row>
    <row r="24" spans="1:18" ht="33.75" x14ac:dyDescent="0.35">
      <c r="A24" s="4" t="s">
        <v>227</v>
      </c>
      <c r="B24" s="3" t="s">
        <v>228</v>
      </c>
      <c r="C24" s="3" t="s">
        <v>229</v>
      </c>
      <c r="D24" s="133" t="s">
        <v>194</v>
      </c>
      <c r="E24" s="133" t="s">
        <v>115</v>
      </c>
      <c r="F24" s="146" t="s">
        <v>115</v>
      </c>
      <c r="G24" s="146" t="s">
        <v>115</v>
      </c>
      <c r="H24" s="133" t="s">
        <v>194</v>
      </c>
      <c r="I24" s="133" t="s">
        <v>194</v>
      </c>
      <c r="J24" s="133" t="s">
        <v>194</v>
      </c>
      <c r="K24" s="133"/>
      <c r="L24" s="133" t="s">
        <v>217</v>
      </c>
      <c r="M24" s="236">
        <v>49.661587741513571</v>
      </c>
      <c r="N24" s="186">
        <f t="shared" si="2"/>
        <v>0</v>
      </c>
      <c r="O24" s="144"/>
      <c r="P24" s="236">
        <v>47.980428196496554</v>
      </c>
      <c r="Q24" s="236">
        <f t="shared" si="0"/>
        <v>49.661587741513571</v>
      </c>
      <c r="R24" s="238">
        <f>Q24/P24</f>
        <v>1.0350384439699472</v>
      </c>
    </row>
    <row r="25" spans="1:18" ht="45" x14ac:dyDescent="0.35">
      <c r="A25" s="4" t="s">
        <v>230</v>
      </c>
      <c r="B25" s="3" t="s">
        <v>231</v>
      </c>
      <c r="C25" s="3" t="s">
        <v>232</v>
      </c>
      <c r="D25" s="133" t="s">
        <v>194</v>
      </c>
      <c r="E25" s="133" t="s">
        <v>194</v>
      </c>
      <c r="F25" s="133" t="s">
        <v>194</v>
      </c>
      <c r="G25" s="133" t="s">
        <v>194</v>
      </c>
      <c r="H25" s="146" t="s">
        <v>115</v>
      </c>
      <c r="I25" s="146" t="s">
        <v>115</v>
      </c>
      <c r="J25" s="146" t="s">
        <v>115</v>
      </c>
      <c r="K25" s="133"/>
      <c r="L25" s="133" t="s">
        <v>217</v>
      </c>
      <c r="M25" s="236">
        <v>60.976513910007291</v>
      </c>
      <c r="N25" s="186">
        <f t="shared" si="2"/>
        <v>0</v>
      </c>
      <c r="O25" s="144"/>
      <c r="P25" s="236">
        <v>58.912317958092942</v>
      </c>
      <c r="Q25" s="236">
        <f>P25*(0.95*($S$2/$R$2)+0.05*($U$2/$T$2))</f>
        <v>60.976513910007291</v>
      </c>
      <c r="R25" s="238">
        <f>Q25/P25</f>
        <v>1.0350384439699472</v>
      </c>
    </row>
    <row r="26" spans="1:18" ht="57.6" customHeight="1" thickBot="1" x14ac:dyDescent="0.4">
      <c r="A26" s="187" t="s">
        <v>128</v>
      </c>
      <c r="B26" s="181" t="s">
        <v>233</v>
      </c>
      <c r="C26" s="181" t="s">
        <v>347</v>
      </c>
      <c r="D26" s="148" t="s">
        <v>194</v>
      </c>
      <c r="E26" s="188" t="s">
        <v>203</v>
      </c>
      <c r="F26" s="188" t="s">
        <v>203</v>
      </c>
      <c r="G26" s="188" t="s">
        <v>203</v>
      </c>
      <c r="H26" s="188" t="s">
        <v>203</v>
      </c>
      <c r="I26" s="188" t="s">
        <v>203</v>
      </c>
      <c r="J26" s="188" t="s">
        <v>203</v>
      </c>
      <c r="K26" s="148"/>
      <c r="L26" s="208" t="s">
        <v>235</v>
      </c>
      <c r="M26" s="197">
        <v>0</v>
      </c>
      <c r="N26" s="186">
        <f t="shared" si="2"/>
        <v>0</v>
      </c>
      <c r="O26" s="144"/>
      <c r="P26" s="197">
        <v>0</v>
      </c>
      <c r="Q26" s="197">
        <f>Variabelen!$L$11</f>
        <v>0</v>
      </c>
      <c r="R26" s="238" t="e">
        <f t="shared" si="1"/>
        <v>#DIV/0!</v>
      </c>
    </row>
    <row r="27" spans="1:18" ht="51" customHeight="1" thickBot="1" x14ac:dyDescent="0.4">
      <c r="A27" s="182">
        <v>3</v>
      </c>
      <c r="B27" s="168" t="s">
        <v>236</v>
      </c>
      <c r="C27" s="169"/>
      <c r="D27" s="217" t="s">
        <v>88</v>
      </c>
      <c r="E27" s="170" t="s">
        <v>117</v>
      </c>
      <c r="F27" s="170" t="s">
        <v>118</v>
      </c>
      <c r="G27" s="171" t="s">
        <v>119</v>
      </c>
      <c r="H27" s="171" t="s">
        <v>120</v>
      </c>
      <c r="I27" s="172" t="s">
        <v>121</v>
      </c>
      <c r="J27" s="172" t="s">
        <v>122</v>
      </c>
      <c r="K27" s="173"/>
      <c r="L27" s="173" t="s">
        <v>188</v>
      </c>
      <c r="M27" s="196" t="s">
        <v>189</v>
      </c>
      <c r="N27" s="174"/>
      <c r="O27" s="144"/>
      <c r="P27" s="196" t="s">
        <v>189</v>
      </c>
      <c r="Q27" s="196" t="s">
        <v>189</v>
      </c>
      <c r="R27" s="238" t="e">
        <f t="shared" si="1"/>
        <v>#VALUE!</v>
      </c>
    </row>
    <row r="28" spans="1:18" ht="67.5" x14ac:dyDescent="0.35">
      <c r="A28" s="183" t="s">
        <v>237</v>
      </c>
      <c r="B28" s="5" t="s">
        <v>238</v>
      </c>
      <c r="C28" s="5" t="s">
        <v>239</v>
      </c>
      <c r="D28" s="149" t="s">
        <v>194</v>
      </c>
      <c r="E28" s="149" t="s">
        <v>115</v>
      </c>
      <c r="F28" s="149" t="s">
        <v>115</v>
      </c>
      <c r="G28" s="184" t="s">
        <v>115</v>
      </c>
      <c r="H28" s="149" t="s">
        <v>194</v>
      </c>
      <c r="I28" s="149" t="s">
        <v>194</v>
      </c>
      <c r="J28" s="149" t="s">
        <v>194</v>
      </c>
      <c r="K28" s="149"/>
      <c r="L28" s="149" t="s">
        <v>195</v>
      </c>
      <c r="M28" s="241">
        <v>620.76984676891959</v>
      </c>
      <c r="N28" s="185">
        <f>K28*M28</f>
        <v>0</v>
      </c>
      <c r="O28" s="144"/>
      <c r="P28" s="241">
        <v>599.75535245620688</v>
      </c>
      <c r="Q28" s="236">
        <f>P28*(0.95*($S$2/$R$2)+0.05*($U$2/$T$2))</f>
        <v>620.76984676891959</v>
      </c>
      <c r="R28" s="238">
        <f t="shared" si="1"/>
        <v>1.0350384439699472</v>
      </c>
    </row>
    <row r="29" spans="1:18" ht="96" customHeight="1" thickBot="1" x14ac:dyDescent="0.4">
      <c r="A29" s="189" t="s">
        <v>240</v>
      </c>
      <c r="B29" s="181" t="s">
        <v>241</v>
      </c>
      <c r="C29" s="181" t="s">
        <v>242</v>
      </c>
      <c r="D29" s="148" t="s">
        <v>194</v>
      </c>
      <c r="E29" s="148" t="s">
        <v>194</v>
      </c>
      <c r="F29" s="148" t="s">
        <v>194</v>
      </c>
      <c r="G29" s="148" t="s">
        <v>194</v>
      </c>
      <c r="H29" s="188" t="s">
        <v>115</v>
      </c>
      <c r="I29" s="188" t="s">
        <v>115</v>
      </c>
      <c r="J29" s="188" t="s">
        <v>115</v>
      </c>
      <c r="K29" s="148"/>
      <c r="L29" s="148" t="s">
        <v>195</v>
      </c>
      <c r="M29" s="241">
        <v>762.2064238750911</v>
      </c>
      <c r="N29" s="190">
        <f>K29*M29</f>
        <v>0</v>
      </c>
      <c r="O29" s="144"/>
      <c r="P29" s="241">
        <v>736.40397447616169</v>
      </c>
      <c r="Q29" s="236">
        <f t="shared" si="0"/>
        <v>762.2064238750911</v>
      </c>
      <c r="R29" s="238">
        <f t="shared" si="1"/>
        <v>1.0350384439699472</v>
      </c>
    </row>
    <row r="30" spans="1:18" ht="51" customHeight="1" thickBot="1" x14ac:dyDescent="0.4">
      <c r="A30" s="167">
        <v>4</v>
      </c>
      <c r="B30" s="168" t="s">
        <v>131</v>
      </c>
      <c r="C30" s="169"/>
      <c r="D30" s="217" t="s">
        <v>88</v>
      </c>
      <c r="E30" s="170" t="s">
        <v>117</v>
      </c>
      <c r="F30" s="170" t="s">
        <v>118</v>
      </c>
      <c r="G30" s="171" t="s">
        <v>119</v>
      </c>
      <c r="H30" s="171" t="s">
        <v>120</v>
      </c>
      <c r="I30" s="172" t="s">
        <v>121</v>
      </c>
      <c r="J30" s="172" t="s">
        <v>122</v>
      </c>
      <c r="K30" s="173"/>
      <c r="L30" s="173" t="s">
        <v>188</v>
      </c>
      <c r="M30" s="196" t="s">
        <v>189</v>
      </c>
      <c r="N30" s="174"/>
      <c r="O30" s="144"/>
      <c r="P30" s="196" t="s">
        <v>189</v>
      </c>
      <c r="Q30" s="196" t="s">
        <v>189</v>
      </c>
      <c r="R30" s="238" t="e">
        <f t="shared" si="1"/>
        <v>#VALUE!</v>
      </c>
    </row>
    <row r="31" spans="1:18" ht="45" x14ac:dyDescent="0.35">
      <c r="A31" s="191" t="s">
        <v>132</v>
      </c>
      <c r="B31" s="5" t="s">
        <v>133</v>
      </c>
      <c r="C31" s="5" t="s">
        <v>348</v>
      </c>
      <c r="D31" s="149" t="s">
        <v>194</v>
      </c>
      <c r="E31" s="149" t="s">
        <v>194</v>
      </c>
      <c r="F31" s="149" t="s">
        <v>203</v>
      </c>
      <c r="G31" s="149" t="s">
        <v>194</v>
      </c>
      <c r="H31" s="149" t="s">
        <v>203</v>
      </c>
      <c r="I31" s="149" t="s">
        <v>194</v>
      </c>
      <c r="J31" s="149" t="s">
        <v>203</v>
      </c>
      <c r="K31" s="149"/>
      <c r="L31" s="199" t="s">
        <v>235</v>
      </c>
      <c r="M31" s="199">
        <v>0</v>
      </c>
      <c r="N31" s="185">
        <f>K31*M31</f>
        <v>0</v>
      </c>
      <c r="O31" s="144"/>
      <c r="P31" s="199">
        <v>0</v>
      </c>
      <c r="Q31" s="199">
        <f>Variabelen!$L$13</f>
        <v>0</v>
      </c>
      <c r="R31" s="238" t="e">
        <f t="shared" si="1"/>
        <v>#DIV/0!</v>
      </c>
    </row>
    <row r="32" spans="1:18" ht="45" x14ac:dyDescent="0.35">
      <c r="A32" s="192" t="s">
        <v>134</v>
      </c>
      <c r="B32" s="3" t="s">
        <v>135</v>
      </c>
      <c r="C32" s="3" t="s">
        <v>348</v>
      </c>
      <c r="D32" s="133" t="s">
        <v>194</v>
      </c>
      <c r="E32" s="133" t="s">
        <v>194</v>
      </c>
      <c r="F32" s="133" t="s">
        <v>203</v>
      </c>
      <c r="G32" s="133" t="s">
        <v>194</v>
      </c>
      <c r="H32" s="133" t="s">
        <v>203</v>
      </c>
      <c r="I32" s="133" t="s">
        <v>194</v>
      </c>
      <c r="J32" s="133" t="s">
        <v>203</v>
      </c>
      <c r="K32" s="133"/>
      <c r="L32" s="200" t="s">
        <v>235</v>
      </c>
      <c r="M32" s="199">
        <v>0</v>
      </c>
      <c r="N32" s="186">
        <f>K32*M32</f>
        <v>0</v>
      </c>
      <c r="O32" s="144"/>
      <c r="P32" s="199">
        <v>0</v>
      </c>
      <c r="Q32" s="199">
        <f>Variabelen!$L$14</f>
        <v>0</v>
      </c>
      <c r="R32" s="238" t="e">
        <f t="shared" si="1"/>
        <v>#DIV/0!</v>
      </c>
    </row>
    <row r="33" spans="1:18" ht="45.75" thickBot="1" x14ac:dyDescent="0.4">
      <c r="A33" s="187" t="s">
        <v>136</v>
      </c>
      <c r="B33" s="181" t="s">
        <v>137</v>
      </c>
      <c r="C33" s="181" t="s">
        <v>349</v>
      </c>
      <c r="D33" s="148" t="s">
        <v>194</v>
      </c>
      <c r="E33" s="148" t="s">
        <v>194</v>
      </c>
      <c r="F33" s="148" t="s">
        <v>203</v>
      </c>
      <c r="G33" s="148" t="s">
        <v>194</v>
      </c>
      <c r="H33" s="148" t="s">
        <v>203</v>
      </c>
      <c r="I33" s="148" t="s">
        <v>194</v>
      </c>
      <c r="J33" s="148" t="s">
        <v>203</v>
      </c>
      <c r="K33" s="148"/>
      <c r="L33" s="197" t="s">
        <v>235</v>
      </c>
      <c r="M33" s="199">
        <v>0</v>
      </c>
      <c r="N33" s="190">
        <f>K33*M33</f>
        <v>0</v>
      </c>
      <c r="O33" s="144"/>
      <c r="P33" s="199">
        <v>0</v>
      </c>
      <c r="Q33" s="199">
        <f>Variabelen!$L$15</f>
        <v>0</v>
      </c>
      <c r="R33" s="238" t="e">
        <f t="shared" si="1"/>
        <v>#DIV/0!</v>
      </c>
    </row>
    <row r="34" spans="1:18" ht="51" customHeight="1" thickBot="1" x14ac:dyDescent="0.4">
      <c r="A34" s="167">
        <v>5</v>
      </c>
      <c r="B34" s="502" t="s">
        <v>245</v>
      </c>
      <c r="C34" s="502"/>
      <c r="D34" s="217" t="s">
        <v>88</v>
      </c>
      <c r="E34" s="170" t="s">
        <v>117</v>
      </c>
      <c r="F34" s="170" t="s">
        <v>118</v>
      </c>
      <c r="G34" s="171" t="s">
        <v>119</v>
      </c>
      <c r="H34" s="171" t="s">
        <v>120</v>
      </c>
      <c r="I34" s="172" t="s">
        <v>121</v>
      </c>
      <c r="J34" s="172" t="s">
        <v>122</v>
      </c>
      <c r="K34" s="173"/>
      <c r="L34" s="173" t="s">
        <v>188</v>
      </c>
      <c r="M34" s="196" t="s">
        <v>189</v>
      </c>
      <c r="N34" s="174"/>
      <c r="O34" s="144"/>
      <c r="P34" s="196" t="s">
        <v>189</v>
      </c>
      <c r="Q34" s="196" t="s">
        <v>189</v>
      </c>
      <c r="R34" s="238" t="e">
        <f t="shared" si="1"/>
        <v>#VALUE!</v>
      </c>
    </row>
    <row r="35" spans="1:18" ht="33.75" x14ac:dyDescent="0.35">
      <c r="A35" s="183" t="s">
        <v>246</v>
      </c>
      <c r="B35" s="5" t="s">
        <v>247</v>
      </c>
      <c r="C35" s="5" t="s">
        <v>248</v>
      </c>
      <c r="D35" s="149" t="s">
        <v>115</v>
      </c>
      <c r="E35" s="149" t="s">
        <v>115</v>
      </c>
      <c r="F35" s="149" t="s">
        <v>115</v>
      </c>
      <c r="G35" s="149" t="s">
        <v>115</v>
      </c>
      <c r="H35" s="149" t="s">
        <v>115</v>
      </c>
      <c r="I35" s="149" t="s">
        <v>115</v>
      </c>
      <c r="J35" s="149" t="s">
        <v>115</v>
      </c>
      <c r="K35" s="149"/>
      <c r="L35" s="149" t="s">
        <v>217</v>
      </c>
      <c r="M35" s="152">
        <v>0</v>
      </c>
      <c r="N35" s="185">
        <f t="shared" ref="N35:N40" si="3">K35*M35</f>
        <v>0</v>
      </c>
      <c r="O35" s="144"/>
      <c r="P35" s="152">
        <v>0</v>
      </c>
      <c r="Q35" s="236">
        <f t="shared" si="0"/>
        <v>0</v>
      </c>
      <c r="R35" s="238" t="e">
        <f t="shared" si="1"/>
        <v>#DIV/0!</v>
      </c>
    </row>
    <row r="36" spans="1:18" ht="23.25" x14ac:dyDescent="0.35">
      <c r="A36" s="192" t="s">
        <v>139</v>
      </c>
      <c r="B36" s="3" t="s">
        <v>140</v>
      </c>
      <c r="C36" s="3" t="s">
        <v>249</v>
      </c>
      <c r="D36" s="133" t="s">
        <v>203</v>
      </c>
      <c r="E36" s="133" t="s">
        <v>203</v>
      </c>
      <c r="F36" s="133" t="s">
        <v>203</v>
      </c>
      <c r="G36" s="133" t="s">
        <v>115</v>
      </c>
      <c r="H36" s="133" t="s">
        <v>115</v>
      </c>
      <c r="I36" s="133" t="s">
        <v>115</v>
      </c>
      <c r="J36" s="133" t="s">
        <v>115</v>
      </c>
      <c r="K36" s="133"/>
      <c r="L36" s="133" t="s">
        <v>250</v>
      </c>
      <c r="M36" s="152">
        <v>9.9831560644368125</v>
      </c>
      <c r="N36" s="186">
        <f t="shared" si="3"/>
        <v>0</v>
      </c>
      <c r="O36" s="144"/>
      <c r="P36" s="152">
        <v>9.6452031541416616</v>
      </c>
      <c r="Q36" s="236">
        <f t="shared" si="0"/>
        <v>9.9831560644368125</v>
      </c>
      <c r="R36" s="238">
        <f t="shared" si="1"/>
        <v>1.0350384439699472</v>
      </c>
    </row>
    <row r="37" spans="1:18" ht="33.75" x14ac:dyDescent="0.35">
      <c r="A37" s="192" t="s">
        <v>141</v>
      </c>
      <c r="B37" s="3" t="s">
        <v>251</v>
      </c>
      <c r="C37" s="3" t="s">
        <v>329</v>
      </c>
      <c r="D37" s="133" t="s">
        <v>194</v>
      </c>
      <c r="E37" s="133" t="s">
        <v>194</v>
      </c>
      <c r="F37" s="133" t="s">
        <v>194</v>
      </c>
      <c r="G37" s="177" t="s">
        <v>203</v>
      </c>
      <c r="H37" s="177" t="s">
        <v>203</v>
      </c>
      <c r="I37" s="177" t="s">
        <v>203</v>
      </c>
      <c r="J37" s="177" t="s">
        <v>203</v>
      </c>
      <c r="K37" s="133"/>
      <c r="L37" s="133" t="s">
        <v>217</v>
      </c>
      <c r="M37" s="152">
        <v>152.18225707982944</v>
      </c>
      <c r="N37" s="186">
        <f t="shared" si="3"/>
        <v>0</v>
      </c>
      <c r="O37" s="144"/>
      <c r="P37" s="152">
        <v>147.03053588630581</v>
      </c>
      <c r="Q37" s="236">
        <f t="shared" si="0"/>
        <v>152.18225707982944</v>
      </c>
      <c r="R37" s="238">
        <f t="shared" si="1"/>
        <v>1.0350384439699472</v>
      </c>
    </row>
    <row r="38" spans="1:18" ht="23.25" x14ac:dyDescent="0.35">
      <c r="A38" s="192" t="s">
        <v>143</v>
      </c>
      <c r="B38" s="3" t="s">
        <v>253</v>
      </c>
      <c r="C38" s="3" t="s">
        <v>254</v>
      </c>
      <c r="D38" s="133" t="s">
        <v>194</v>
      </c>
      <c r="E38" s="133" t="s">
        <v>194</v>
      </c>
      <c r="F38" s="133" t="s">
        <v>194</v>
      </c>
      <c r="G38" s="177" t="s">
        <v>203</v>
      </c>
      <c r="H38" s="177" t="s">
        <v>203</v>
      </c>
      <c r="I38" s="177" t="s">
        <v>203</v>
      </c>
      <c r="J38" s="177" t="s">
        <v>203</v>
      </c>
      <c r="K38" s="201"/>
      <c r="L38" s="201" t="s">
        <v>268</v>
      </c>
      <c r="M38" s="152">
        <v>436.76307781911055</v>
      </c>
      <c r="N38" s="186">
        <f t="shared" si="3"/>
        <v>0</v>
      </c>
      <c r="O38" s="144"/>
      <c r="P38" s="152">
        <v>421.97763799369773</v>
      </c>
      <c r="Q38" s="236">
        <f t="shared" si="0"/>
        <v>436.76307781911055</v>
      </c>
      <c r="R38" s="238">
        <f t="shared" si="1"/>
        <v>1.0350384439699472</v>
      </c>
    </row>
    <row r="39" spans="1:18" ht="23.25" x14ac:dyDescent="0.35">
      <c r="A39" s="4" t="s">
        <v>255</v>
      </c>
      <c r="B39" s="3" t="s">
        <v>256</v>
      </c>
      <c r="C39" s="3" t="s">
        <v>257</v>
      </c>
      <c r="D39" s="133" t="s">
        <v>115</v>
      </c>
      <c r="E39" s="133" t="s">
        <v>115</v>
      </c>
      <c r="F39" s="133" t="s">
        <v>115</v>
      </c>
      <c r="G39" s="133" t="s">
        <v>115</v>
      </c>
      <c r="H39" s="133" t="s">
        <v>115</v>
      </c>
      <c r="I39" s="133" t="s">
        <v>115</v>
      </c>
      <c r="J39" s="133" t="s">
        <v>115</v>
      </c>
      <c r="K39" s="133"/>
      <c r="L39" s="201" t="s">
        <v>217</v>
      </c>
      <c r="M39" s="152">
        <v>12.478945080546016</v>
      </c>
      <c r="N39" s="186">
        <f t="shared" si="3"/>
        <v>0</v>
      </c>
      <c r="O39" s="144"/>
      <c r="P39" s="152">
        <v>12.056503942677077</v>
      </c>
      <c r="Q39" s="236">
        <f t="shared" si="0"/>
        <v>12.478945080546016</v>
      </c>
      <c r="R39" s="238">
        <f t="shared" si="1"/>
        <v>1.0350384439699472</v>
      </c>
    </row>
    <row r="40" spans="1:18" ht="45" x14ac:dyDescent="0.35">
      <c r="A40" s="192" t="s">
        <v>145</v>
      </c>
      <c r="B40" s="3" t="s">
        <v>146</v>
      </c>
      <c r="C40" s="3" t="s">
        <v>258</v>
      </c>
      <c r="D40" s="133" t="s">
        <v>203</v>
      </c>
      <c r="E40" s="177" t="s">
        <v>203</v>
      </c>
      <c r="F40" s="177" t="s">
        <v>203</v>
      </c>
      <c r="G40" s="177" t="s">
        <v>203</v>
      </c>
      <c r="H40" s="177" t="s">
        <v>203</v>
      </c>
      <c r="I40" s="177" t="s">
        <v>203</v>
      </c>
      <c r="J40" s="177" t="s">
        <v>203</v>
      </c>
      <c r="K40" s="201"/>
      <c r="L40" s="201" t="s">
        <v>259</v>
      </c>
      <c r="M40" s="152">
        <v>1.1231050572491412</v>
      </c>
      <c r="N40" s="186">
        <f t="shared" si="3"/>
        <v>0</v>
      </c>
      <c r="O40" s="144"/>
      <c r="P40" s="152">
        <v>1.0850853548409369</v>
      </c>
      <c r="Q40" s="236">
        <f t="shared" si="0"/>
        <v>1.1231050572491412</v>
      </c>
      <c r="R40" s="238">
        <f t="shared" si="1"/>
        <v>1.0350384439699472</v>
      </c>
    </row>
    <row r="41" spans="1:18" ht="45" x14ac:dyDescent="0.35">
      <c r="A41" s="192" t="s">
        <v>147</v>
      </c>
      <c r="B41" s="3" t="s">
        <v>260</v>
      </c>
      <c r="C41" s="3" t="s">
        <v>261</v>
      </c>
      <c r="D41" s="177" t="s">
        <v>203</v>
      </c>
      <c r="E41" s="177" t="s">
        <v>203</v>
      </c>
      <c r="F41" s="177" t="s">
        <v>203</v>
      </c>
      <c r="G41" s="177" t="s">
        <v>203</v>
      </c>
      <c r="H41" s="177" t="s">
        <v>203</v>
      </c>
      <c r="I41" s="177" t="s">
        <v>203</v>
      </c>
      <c r="J41" s="177" t="s">
        <v>203</v>
      </c>
      <c r="K41" s="133"/>
      <c r="L41" s="133" t="s">
        <v>262</v>
      </c>
      <c r="M41" s="152">
        <v>7.045474864806919</v>
      </c>
      <c r="N41" s="186">
        <f>K41*M41</f>
        <v>0</v>
      </c>
      <c r="O41" s="144"/>
      <c r="P41" s="152">
        <v>6.8069692539956401</v>
      </c>
      <c r="Q41" s="236">
        <f t="shared" si="0"/>
        <v>7.045474864806919</v>
      </c>
      <c r="R41" s="238">
        <f t="shared" si="1"/>
        <v>1.0350384439699472</v>
      </c>
    </row>
    <row r="42" spans="1:18" ht="56.25" x14ac:dyDescent="0.35">
      <c r="A42" s="192" t="s">
        <v>149</v>
      </c>
      <c r="B42" s="3" t="s">
        <v>263</v>
      </c>
      <c r="C42" s="3" t="s">
        <v>264</v>
      </c>
      <c r="D42" s="133" t="s">
        <v>203</v>
      </c>
      <c r="E42" s="177" t="s">
        <v>203</v>
      </c>
      <c r="F42" s="177" t="s">
        <v>203</v>
      </c>
      <c r="G42" s="177" t="s">
        <v>203</v>
      </c>
      <c r="H42" s="177" t="s">
        <v>203</v>
      </c>
      <c r="I42" s="177" t="s">
        <v>203</v>
      </c>
      <c r="J42" s="177" t="s">
        <v>203</v>
      </c>
      <c r="K42" s="133"/>
      <c r="L42" s="133" t="s">
        <v>265</v>
      </c>
      <c r="M42" s="152">
        <v>8.4545698377683021</v>
      </c>
      <c r="N42" s="186">
        <f>K42*M42</f>
        <v>0</v>
      </c>
      <c r="O42" s="144"/>
      <c r="P42" s="152">
        <v>8.1683631047947678</v>
      </c>
      <c r="Q42" s="236">
        <f t="shared" si="0"/>
        <v>8.4545698377683021</v>
      </c>
      <c r="R42" s="238">
        <f t="shared" si="1"/>
        <v>1.0350384439699472</v>
      </c>
    </row>
    <row r="43" spans="1:18" ht="23.25" x14ac:dyDescent="0.35">
      <c r="A43" s="192" t="s">
        <v>151</v>
      </c>
      <c r="B43" s="3" t="s">
        <v>266</v>
      </c>
      <c r="C43" s="3" t="s">
        <v>267</v>
      </c>
      <c r="D43" s="133" t="s">
        <v>203</v>
      </c>
      <c r="E43" s="177" t="s">
        <v>203</v>
      </c>
      <c r="F43" s="177" t="s">
        <v>203</v>
      </c>
      <c r="G43" s="177" t="s">
        <v>203</v>
      </c>
      <c r="H43" s="177" t="s">
        <v>203</v>
      </c>
      <c r="I43" s="177" t="s">
        <v>203</v>
      </c>
      <c r="J43" s="177" t="s">
        <v>203</v>
      </c>
      <c r="K43" s="133"/>
      <c r="L43" s="133" t="s">
        <v>268</v>
      </c>
      <c r="M43" s="152">
        <v>450.91039134764281</v>
      </c>
      <c r="N43" s="186">
        <f>K43*M43</f>
        <v>0</v>
      </c>
      <c r="O43" s="144"/>
      <c r="P43" s="152">
        <v>435.64603225572097</v>
      </c>
      <c r="Q43" s="236">
        <f t="shared" si="0"/>
        <v>450.91039134764281</v>
      </c>
      <c r="R43" s="238">
        <f t="shared" si="1"/>
        <v>1.0350384439699472</v>
      </c>
    </row>
    <row r="44" spans="1:18" ht="23.25" thickBot="1" x14ac:dyDescent="0.3">
      <c r="A44" s="189" t="s">
        <v>153</v>
      </c>
      <c r="B44" s="181" t="s">
        <v>154</v>
      </c>
      <c r="C44" s="181" t="s">
        <v>269</v>
      </c>
      <c r="D44" s="148" t="s">
        <v>203</v>
      </c>
      <c r="E44" s="148" t="s">
        <v>203</v>
      </c>
      <c r="F44" s="148" t="s">
        <v>203</v>
      </c>
      <c r="G44" s="148" t="s">
        <v>203</v>
      </c>
      <c r="H44" s="148" t="s">
        <v>203</v>
      </c>
      <c r="I44" s="148" t="s">
        <v>203</v>
      </c>
      <c r="J44" s="148" t="s">
        <v>203</v>
      </c>
      <c r="K44" s="148"/>
      <c r="L44" s="197" t="s">
        <v>235</v>
      </c>
      <c r="M44" s="197">
        <v>0</v>
      </c>
      <c r="N44" s="190">
        <f>K44*M44</f>
        <v>0</v>
      </c>
      <c r="O44" s="175"/>
      <c r="P44" s="197">
        <v>0</v>
      </c>
      <c r="Q44" s="197">
        <f>Variabelen!$L$24</f>
        <v>0</v>
      </c>
      <c r="R44" s="238" t="e">
        <f t="shared" si="1"/>
        <v>#DIV/0!</v>
      </c>
    </row>
    <row r="45" spans="1:18" ht="51" customHeight="1" thickBot="1" x14ac:dyDescent="0.4">
      <c r="A45" s="167">
        <v>6</v>
      </c>
      <c r="B45" s="168" t="s">
        <v>155</v>
      </c>
      <c r="C45" s="169"/>
      <c r="D45" s="217" t="s">
        <v>88</v>
      </c>
      <c r="E45" s="170" t="s">
        <v>117</v>
      </c>
      <c r="F45" s="170" t="s">
        <v>118</v>
      </c>
      <c r="G45" s="171" t="s">
        <v>119</v>
      </c>
      <c r="H45" s="171" t="s">
        <v>120</v>
      </c>
      <c r="I45" s="172" t="s">
        <v>121</v>
      </c>
      <c r="J45" s="172" t="s">
        <v>122</v>
      </c>
      <c r="K45" s="173"/>
      <c r="L45" s="173" t="s">
        <v>188</v>
      </c>
      <c r="M45" s="196" t="s">
        <v>189</v>
      </c>
      <c r="N45" s="174"/>
      <c r="O45" s="144"/>
      <c r="P45" s="196" t="s">
        <v>189</v>
      </c>
      <c r="Q45" s="196" t="s">
        <v>189</v>
      </c>
      <c r="R45" s="238" t="e">
        <f t="shared" si="1"/>
        <v>#VALUE!</v>
      </c>
    </row>
    <row r="46" spans="1:18" ht="23.25" x14ac:dyDescent="0.35">
      <c r="A46" s="183" t="s">
        <v>270</v>
      </c>
      <c r="B46" s="5" t="s">
        <v>271</v>
      </c>
      <c r="C46" s="5" t="s">
        <v>272</v>
      </c>
      <c r="D46" s="149" t="s">
        <v>194</v>
      </c>
      <c r="E46" s="149" t="s">
        <v>115</v>
      </c>
      <c r="F46" s="149" t="s">
        <v>115</v>
      </c>
      <c r="G46" s="149" t="s">
        <v>194</v>
      </c>
      <c r="H46" s="149" t="s">
        <v>194</v>
      </c>
      <c r="I46" s="149" t="s">
        <v>194</v>
      </c>
      <c r="J46" s="149" t="s">
        <v>194</v>
      </c>
      <c r="K46" s="149"/>
      <c r="L46" s="149" t="s">
        <v>217</v>
      </c>
      <c r="M46" s="152">
        <v>0</v>
      </c>
      <c r="N46" s="185">
        <f t="shared" ref="N46:N51" si="4">K46*M46</f>
        <v>0</v>
      </c>
      <c r="O46" s="144"/>
      <c r="P46" s="152">
        <v>0</v>
      </c>
      <c r="Q46" s="236">
        <f t="shared" si="0"/>
        <v>0</v>
      </c>
      <c r="R46" s="238" t="e">
        <f t="shared" si="1"/>
        <v>#DIV/0!</v>
      </c>
    </row>
    <row r="47" spans="1:18" ht="45" x14ac:dyDescent="0.35">
      <c r="A47" s="192" t="s">
        <v>156</v>
      </c>
      <c r="B47" s="3" t="s">
        <v>157</v>
      </c>
      <c r="C47" s="3" t="s">
        <v>317</v>
      </c>
      <c r="D47" s="133" t="s">
        <v>194</v>
      </c>
      <c r="E47" s="177" t="s">
        <v>203</v>
      </c>
      <c r="F47" s="177" t="s">
        <v>203</v>
      </c>
      <c r="G47" s="133" t="s">
        <v>203</v>
      </c>
      <c r="H47" s="133" t="s">
        <v>115</v>
      </c>
      <c r="I47" s="133" t="s">
        <v>115</v>
      </c>
      <c r="J47" s="133" t="s">
        <v>115</v>
      </c>
      <c r="K47" s="133"/>
      <c r="L47" s="133" t="s">
        <v>217</v>
      </c>
      <c r="M47" s="152">
        <v>129.6367375124473</v>
      </c>
      <c r="N47" s="186">
        <f t="shared" si="4"/>
        <v>0</v>
      </c>
      <c r="O47" s="144"/>
      <c r="P47" s="152">
        <v>125.24823427351977</v>
      </c>
      <c r="Q47" s="236">
        <f t="shared" si="0"/>
        <v>129.6367375124473</v>
      </c>
      <c r="R47" s="238">
        <f t="shared" si="1"/>
        <v>1.0350384439699472</v>
      </c>
    </row>
    <row r="48" spans="1:18" ht="33.75" x14ac:dyDescent="0.35">
      <c r="A48" s="192" t="s">
        <v>158</v>
      </c>
      <c r="B48" s="3" t="s">
        <v>159</v>
      </c>
      <c r="C48" s="3" t="s">
        <v>350</v>
      </c>
      <c r="D48" s="133" t="s">
        <v>194</v>
      </c>
      <c r="E48" s="133" t="s">
        <v>194</v>
      </c>
      <c r="F48" s="133" t="s">
        <v>194</v>
      </c>
      <c r="G48" s="133" t="s">
        <v>194</v>
      </c>
      <c r="H48" s="177" t="s">
        <v>203</v>
      </c>
      <c r="I48" s="133" t="s">
        <v>194</v>
      </c>
      <c r="J48" s="177" t="s">
        <v>203</v>
      </c>
      <c r="K48" s="133"/>
      <c r="L48" s="200" t="s">
        <v>235</v>
      </c>
      <c r="M48" s="200">
        <v>0</v>
      </c>
      <c r="N48" s="186">
        <f t="shared" si="4"/>
        <v>0</v>
      </c>
      <c r="O48" s="144"/>
      <c r="P48" s="200">
        <v>0</v>
      </c>
      <c r="Q48" s="200">
        <f>Variabelen!$L$27</f>
        <v>0</v>
      </c>
      <c r="R48" s="238" t="e">
        <f t="shared" si="1"/>
        <v>#DIV/0!</v>
      </c>
    </row>
    <row r="49" spans="1:18" ht="23.25" x14ac:dyDescent="0.35">
      <c r="A49" s="192" t="s">
        <v>160</v>
      </c>
      <c r="B49" s="3" t="s">
        <v>275</v>
      </c>
      <c r="C49" s="3" t="s">
        <v>276</v>
      </c>
      <c r="D49" s="133" t="s">
        <v>203</v>
      </c>
      <c r="E49" s="177" t="s">
        <v>203</v>
      </c>
      <c r="F49" s="177" t="s">
        <v>203</v>
      </c>
      <c r="G49" s="177" t="s">
        <v>203</v>
      </c>
      <c r="H49" s="177" t="s">
        <v>203</v>
      </c>
      <c r="I49" s="177" t="s">
        <v>203</v>
      </c>
      <c r="J49" s="177" t="s">
        <v>203</v>
      </c>
      <c r="K49" s="133"/>
      <c r="L49" s="133" t="s">
        <v>162</v>
      </c>
      <c r="M49" s="150">
        <v>5.0727419026609821</v>
      </c>
      <c r="N49" s="186">
        <f t="shared" si="4"/>
        <v>0</v>
      </c>
      <c r="O49" s="144"/>
      <c r="P49" s="150">
        <v>4.901017862876861</v>
      </c>
      <c r="Q49" s="236">
        <f t="shared" si="0"/>
        <v>5.0727419026609821</v>
      </c>
      <c r="R49" s="238">
        <f t="shared" si="1"/>
        <v>1.0350384439699472</v>
      </c>
    </row>
    <row r="50" spans="1:18" ht="23.25" x14ac:dyDescent="0.35">
      <c r="A50" s="192" t="s">
        <v>163</v>
      </c>
      <c r="B50" s="3" t="s">
        <v>164</v>
      </c>
      <c r="C50" s="3" t="s">
        <v>277</v>
      </c>
      <c r="D50" s="133" t="s">
        <v>203</v>
      </c>
      <c r="E50" s="177" t="s">
        <v>203</v>
      </c>
      <c r="F50" s="177" t="s">
        <v>203</v>
      </c>
      <c r="G50" s="177" t="s">
        <v>203</v>
      </c>
      <c r="H50" s="177" t="s">
        <v>203</v>
      </c>
      <c r="I50" s="177" t="s">
        <v>203</v>
      </c>
      <c r="J50" s="177" t="s">
        <v>203</v>
      </c>
      <c r="K50" s="133"/>
      <c r="L50" s="200" t="s">
        <v>235</v>
      </c>
      <c r="M50" s="200">
        <v>0</v>
      </c>
      <c r="N50" s="186">
        <f t="shared" si="4"/>
        <v>0</v>
      </c>
      <c r="O50" s="144"/>
      <c r="P50" s="200">
        <v>0</v>
      </c>
      <c r="Q50" s="200">
        <f>Variabelen!$L$29</f>
        <v>0</v>
      </c>
      <c r="R50" s="238" t="e">
        <f t="shared" si="1"/>
        <v>#DIV/0!</v>
      </c>
    </row>
    <row r="51" spans="1:18" ht="24" thickBot="1" x14ac:dyDescent="0.4">
      <c r="A51" s="189" t="s">
        <v>278</v>
      </c>
      <c r="B51" s="181" t="s">
        <v>279</v>
      </c>
      <c r="C51" s="181" t="s">
        <v>280</v>
      </c>
      <c r="D51" s="148" t="s">
        <v>115</v>
      </c>
      <c r="E51" s="148" t="s">
        <v>115</v>
      </c>
      <c r="F51" s="148" t="s">
        <v>115</v>
      </c>
      <c r="G51" s="148" t="s">
        <v>115</v>
      </c>
      <c r="H51" s="148" t="s">
        <v>115</v>
      </c>
      <c r="I51" s="148" t="s">
        <v>115</v>
      </c>
      <c r="J51" s="148" t="s">
        <v>115</v>
      </c>
      <c r="K51" s="148"/>
      <c r="L51" s="148" t="s">
        <v>281</v>
      </c>
      <c r="M51" s="198">
        <v>38.9967033767063</v>
      </c>
      <c r="N51" s="190">
        <f t="shared" si="4"/>
        <v>0</v>
      </c>
      <c r="O51" s="144"/>
      <c r="P51" s="198">
        <v>37.676574820865866</v>
      </c>
      <c r="Q51" s="236">
        <f t="shared" si="0"/>
        <v>38.9967033767063</v>
      </c>
      <c r="R51" s="238">
        <f t="shared" si="1"/>
        <v>1.0350384439699472</v>
      </c>
    </row>
    <row r="52" spans="1:18" ht="51" customHeight="1" thickBot="1" x14ac:dyDescent="0.4">
      <c r="A52" s="167">
        <v>7</v>
      </c>
      <c r="B52" s="168" t="s">
        <v>165</v>
      </c>
      <c r="C52" s="169"/>
      <c r="D52" s="217" t="s">
        <v>88</v>
      </c>
      <c r="E52" s="170" t="s">
        <v>117</v>
      </c>
      <c r="F52" s="170" t="s">
        <v>118</v>
      </c>
      <c r="G52" s="171" t="s">
        <v>119</v>
      </c>
      <c r="H52" s="171" t="s">
        <v>120</v>
      </c>
      <c r="I52" s="172" t="s">
        <v>121</v>
      </c>
      <c r="J52" s="172" t="s">
        <v>122</v>
      </c>
      <c r="K52" s="173"/>
      <c r="L52" s="173" t="s">
        <v>188</v>
      </c>
      <c r="M52" s="196" t="s">
        <v>189</v>
      </c>
      <c r="N52" s="174"/>
      <c r="O52" s="144"/>
      <c r="P52" s="196" t="s">
        <v>189</v>
      </c>
      <c r="Q52" s="196" t="s">
        <v>189</v>
      </c>
      <c r="R52" s="238" t="e">
        <f t="shared" si="1"/>
        <v>#VALUE!</v>
      </c>
    </row>
    <row r="53" spans="1:18" ht="84" customHeight="1" x14ac:dyDescent="0.35">
      <c r="A53" s="183" t="s">
        <v>282</v>
      </c>
      <c r="B53" s="5" t="s">
        <v>283</v>
      </c>
      <c r="C53" s="5" t="s">
        <v>284</v>
      </c>
      <c r="D53" s="149" t="s">
        <v>194</v>
      </c>
      <c r="E53" s="149" t="s">
        <v>115</v>
      </c>
      <c r="F53" s="149" t="s">
        <v>115</v>
      </c>
      <c r="G53" s="149" t="s">
        <v>115</v>
      </c>
      <c r="H53" s="149" t="s">
        <v>115</v>
      </c>
      <c r="I53" s="149" t="s">
        <v>115</v>
      </c>
      <c r="J53" s="149" t="s">
        <v>115</v>
      </c>
      <c r="K53" s="149"/>
      <c r="L53" s="149" t="s">
        <v>217</v>
      </c>
      <c r="M53" s="152">
        <v>15.218225707982945</v>
      </c>
      <c r="N53" s="185">
        <f>K53*M53</f>
        <v>0</v>
      </c>
      <c r="O53" s="144"/>
      <c r="P53" s="152">
        <v>14.703053588630583</v>
      </c>
      <c r="Q53" s="236">
        <f t="shared" si="0"/>
        <v>15.218225707982945</v>
      </c>
      <c r="R53" s="238">
        <f t="shared" si="1"/>
        <v>1.0350384439699472</v>
      </c>
    </row>
    <row r="54" spans="1:18" ht="56.25" x14ac:dyDescent="0.35">
      <c r="A54" s="192" t="s">
        <v>166</v>
      </c>
      <c r="B54" s="3" t="s">
        <v>167</v>
      </c>
      <c r="C54" s="3" t="s">
        <v>319</v>
      </c>
      <c r="D54" s="133" t="s">
        <v>194</v>
      </c>
      <c r="E54" s="177" t="s">
        <v>203</v>
      </c>
      <c r="F54" s="133" t="s">
        <v>115</v>
      </c>
      <c r="G54" s="177" t="s">
        <v>203</v>
      </c>
      <c r="H54" s="133" t="s">
        <v>115</v>
      </c>
      <c r="I54" s="177" t="s">
        <v>203</v>
      </c>
      <c r="J54" s="133" t="s">
        <v>115</v>
      </c>
      <c r="K54" s="133"/>
      <c r="L54" s="133" t="s">
        <v>217</v>
      </c>
      <c r="M54" s="152">
        <v>18.036415653905713</v>
      </c>
      <c r="N54" s="186">
        <f>K54*M54</f>
        <v>0</v>
      </c>
      <c r="O54" s="144"/>
      <c r="P54" s="152">
        <v>17.425841290228838</v>
      </c>
      <c r="Q54" s="236">
        <f t="shared" si="0"/>
        <v>18.036415653905713</v>
      </c>
      <c r="R54" s="238">
        <f t="shared" si="1"/>
        <v>1.0350384439699472</v>
      </c>
    </row>
    <row r="55" spans="1:18" ht="46.5" customHeight="1" x14ac:dyDescent="0.35">
      <c r="A55" s="192" t="s">
        <v>168</v>
      </c>
      <c r="B55" s="3" t="s">
        <v>169</v>
      </c>
      <c r="C55" s="3" t="s">
        <v>320</v>
      </c>
      <c r="D55" s="133" t="s">
        <v>194</v>
      </c>
      <c r="E55" s="177" t="s">
        <v>203</v>
      </c>
      <c r="F55" s="177" t="s">
        <v>203</v>
      </c>
      <c r="G55" s="177" t="s">
        <v>203</v>
      </c>
      <c r="H55" s="177" t="s">
        <v>203</v>
      </c>
      <c r="I55" s="177" t="s">
        <v>203</v>
      </c>
      <c r="J55" s="177" t="s">
        <v>203</v>
      </c>
      <c r="K55" s="133"/>
      <c r="L55" s="200" t="s">
        <v>235</v>
      </c>
      <c r="M55" s="200">
        <v>0</v>
      </c>
      <c r="N55" s="186">
        <f>K55*M55</f>
        <v>0</v>
      </c>
      <c r="O55" s="144"/>
      <c r="P55" s="200">
        <v>0</v>
      </c>
      <c r="Q55" s="200">
        <f>Variabelen!$L$32</f>
        <v>0</v>
      </c>
      <c r="R55" s="238" t="e">
        <f t="shared" si="1"/>
        <v>#DIV/0!</v>
      </c>
    </row>
    <row r="56" spans="1:18" ht="24" thickBot="1" x14ac:dyDescent="0.4">
      <c r="A56" s="187" t="s">
        <v>170</v>
      </c>
      <c r="B56" s="181" t="s">
        <v>171</v>
      </c>
      <c r="C56" s="181" t="s">
        <v>334</v>
      </c>
      <c r="D56" s="148" t="s">
        <v>194</v>
      </c>
      <c r="E56" s="148" t="s">
        <v>194</v>
      </c>
      <c r="F56" s="148" t="s">
        <v>194</v>
      </c>
      <c r="G56" s="148" t="s">
        <v>194</v>
      </c>
      <c r="H56" s="148" t="s">
        <v>194</v>
      </c>
      <c r="I56" s="148" t="s">
        <v>194</v>
      </c>
      <c r="J56" s="188" t="s">
        <v>203</v>
      </c>
      <c r="K56" s="148"/>
      <c r="L56" s="197" t="s">
        <v>235</v>
      </c>
      <c r="M56" s="200">
        <v>0</v>
      </c>
      <c r="N56" s="190">
        <f>K56*M56</f>
        <v>0</v>
      </c>
      <c r="O56" s="144"/>
      <c r="P56" s="200">
        <v>0</v>
      </c>
      <c r="Q56" s="200">
        <f>Variabelen!$L$33</f>
        <v>0</v>
      </c>
      <c r="R56" s="238" t="e">
        <f t="shared" si="1"/>
        <v>#DIV/0!</v>
      </c>
    </row>
    <row r="57" spans="1:18" ht="51" customHeight="1" thickBot="1" x14ac:dyDescent="0.4">
      <c r="A57" s="167">
        <v>8</v>
      </c>
      <c r="B57" s="168" t="s">
        <v>288</v>
      </c>
      <c r="C57" s="168"/>
      <c r="D57" s="217" t="s">
        <v>88</v>
      </c>
      <c r="E57" s="170" t="s">
        <v>117</v>
      </c>
      <c r="F57" s="170" t="s">
        <v>118</v>
      </c>
      <c r="G57" s="171" t="s">
        <v>119</v>
      </c>
      <c r="H57" s="171" t="s">
        <v>120</v>
      </c>
      <c r="I57" s="172" t="s">
        <v>121</v>
      </c>
      <c r="J57" s="172" t="s">
        <v>122</v>
      </c>
      <c r="K57" s="173"/>
      <c r="L57" s="173" t="s">
        <v>188</v>
      </c>
      <c r="M57" s="196" t="s">
        <v>189</v>
      </c>
      <c r="N57" s="174"/>
      <c r="O57" s="144"/>
      <c r="P57" s="196" t="s">
        <v>189</v>
      </c>
      <c r="Q57" s="196" t="s">
        <v>189</v>
      </c>
      <c r="R57" s="238" t="e">
        <f t="shared" si="1"/>
        <v>#VALUE!</v>
      </c>
    </row>
    <row r="58" spans="1:18" ht="57.95" customHeight="1" x14ac:dyDescent="0.35">
      <c r="A58" s="183" t="s">
        <v>289</v>
      </c>
      <c r="B58" s="5" t="s">
        <v>290</v>
      </c>
      <c r="C58" s="5" t="s">
        <v>351</v>
      </c>
      <c r="D58" s="149" t="s">
        <v>115</v>
      </c>
      <c r="E58" s="149" t="s">
        <v>194</v>
      </c>
      <c r="F58" s="149" t="s">
        <v>194</v>
      </c>
      <c r="G58" s="149" t="s">
        <v>194</v>
      </c>
      <c r="H58" s="149" t="s">
        <v>194</v>
      </c>
      <c r="I58" s="149" t="s">
        <v>194</v>
      </c>
      <c r="J58" s="149" t="s">
        <v>194</v>
      </c>
      <c r="K58" s="149"/>
      <c r="L58" s="149" t="s">
        <v>292</v>
      </c>
      <c r="M58" s="150">
        <v>111.44175191793592</v>
      </c>
      <c r="N58" s="185">
        <f t="shared" ref="N58:N64" si="5">K58*M58</f>
        <v>0</v>
      </c>
      <c r="O58" s="144"/>
      <c r="P58" s="150">
        <v>107.66919100173219</v>
      </c>
      <c r="Q58" s="236">
        <f t="shared" si="0"/>
        <v>111.44175191793592</v>
      </c>
      <c r="R58" s="238">
        <f t="shared" si="1"/>
        <v>1.0350384439699472</v>
      </c>
    </row>
    <row r="59" spans="1:18" ht="23.25" x14ac:dyDescent="0.35">
      <c r="A59" s="183" t="s">
        <v>293</v>
      </c>
      <c r="B59" s="3" t="s">
        <v>294</v>
      </c>
      <c r="C59" s="3" t="s">
        <v>295</v>
      </c>
      <c r="D59" s="177" t="s">
        <v>115</v>
      </c>
      <c r="E59" s="177" t="s">
        <v>115</v>
      </c>
      <c r="F59" s="177" t="s">
        <v>115</v>
      </c>
      <c r="G59" s="177" t="s">
        <v>115</v>
      </c>
      <c r="H59" s="177" t="s">
        <v>115</v>
      </c>
      <c r="I59" s="177" t="s">
        <v>115</v>
      </c>
      <c r="J59" s="177" t="s">
        <v>115</v>
      </c>
      <c r="K59" s="133"/>
      <c r="L59" s="133" t="s">
        <v>292</v>
      </c>
      <c r="M59" s="150">
        <v>696.51094948709942</v>
      </c>
      <c r="N59" s="186">
        <f t="shared" si="5"/>
        <v>0</v>
      </c>
      <c r="O59" s="144"/>
      <c r="P59" s="150">
        <v>672.93244376082612</v>
      </c>
      <c r="Q59" s="236">
        <f t="shared" si="0"/>
        <v>696.51094948709942</v>
      </c>
      <c r="R59" s="238">
        <f t="shared" si="1"/>
        <v>1.0350384439699472</v>
      </c>
    </row>
    <row r="60" spans="1:18" ht="45" x14ac:dyDescent="0.35">
      <c r="A60" s="192" t="s">
        <v>173</v>
      </c>
      <c r="B60" s="3" t="s">
        <v>174</v>
      </c>
      <c r="C60" s="3" t="s">
        <v>296</v>
      </c>
      <c r="D60" s="177" t="s">
        <v>203</v>
      </c>
      <c r="E60" s="177" t="s">
        <v>203</v>
      </c>
      <c r="F60" s="177" t="s">
        <v>203</v>
      </c>
      <c r="G60" s="177" t="s">
        <v>203</v>
      </c>
      <c r="H60" s="177" t="s">
        <v>203</v>
      </c>
      <c r="I60" s="177" t="s">
        <v>203</v>
      </c>
      <c r="J60" s="177" t="s">
        <v>203</v>
      </c>
      <c r="K60" s="133"/>
      <c r="L60" s="200" t="s">
        <v>235</v>
      </c>
      <c r="M60" s="200">
        <v>0</v>
      </c>
      <c r="N60" s="186">
        <f t="shared" si="5"/>
        <v>0</v>
      </c>
      <c r="O60" s="144"/>
      <c r="P60" s="200">
        <v>0</v>
      </c>
      <c r="Q60" s="200">
        <f>Variabelen!$L$35</f>
        <v>0</v>
      </c>
      <c r="R60" s="238" t="e">
        <f t="shared" si="1"/>
        <v>#DIV/0!</v>
      </c>
    </row>
    <row r="61" spans="1:18" ht="45" x14ac:dyDescent="0.35">
      <c r="A61" s="192" t="s">
        <v>175</v>
      </c>
      <c r="B61" s="3" t="s">
        <v>176</v>
      </c>
      <c r="C61" s="3" t="s">
        <v>352</v>
      </c>
      <c r="D61" s="177" t="s">
        <v>203</v>
      </c>
      <c r="E61" s="177" t="s">
        <v>203</v>
      </c>
      <c r="F61" s="177" t="s">
        <v>203</v>
      </c>
      <c r="G61" s="177" t="s">
        <v>203</v>
      </c>
      <c r="H61" s="177" t="s">
        <v>203</v>
      </c>
      <c r="I61" s="177" t="s">
        <v>203</v>
      </c>
      <c r="J61" s="177" t="s">
        <v>203</v>
      </c>
      <c r="K61" s="133"/>
      <c r="L61" s="200" t="s">
        <v>235</v>
      </c>
      <c r="M61" s="200">
        <v>0</v>
      </c>
      <c r="N61" s="186">
        <f t="shared" si="5"/>
        <v>0</v>
      </c>
      <c r="O61" s="144"/>
      <c r="P61" s="200">
        <v>0</v>
      </c>
      <c r="Q61" s="200">
        <f>Variabelen!$L$36</f>
        <v>0</v>
      </c>
      <c r="R61" s="238" t="e">
        <f t="shared" si="1"/>
        <v>#DIV/0!</v>
      </c>
    </row>
    <row r="62" spans="1:18" ht="33.75" x14ac:dyDescent="0.35">
      <c r="A62" s="192" t="s">
        <v>177</v>
      </c>
      <c r="B62" s="3" t="s">
        <v>297</v>
      </c>
      <c r="C62" s="3" t="s">
        <v>298</v>
      </c>
      <c r="D62" s="177" t="s">
        <v>203</v>
      </c>
      <c r="E62" s="177" t="s">
        <v>203</v>
      </c>
      <c r="F62" s="177" t="s">
        <v>203</v>
      </c>
      <c r="G62" s="177" t="s">
        <v>203</v>
      </c>
      <c r="H62" s="177" t="s">
        <v>203</v>
      </c>
      <c r="I62" s="177" t="s">
        <v>203</v>
      </c>
      <c r="J62" s="177" t="s">
        <v>203</v>
      </c>
      <c r="K62" s="133"/>
      <c r="L62" s="133" t="s">
        <v>292</v>
      </c>
      <c r="M62" s="150">
        <v>55.720875958967959</v>
      </c>
      <c r="N62" s="186">
        <f t="shared" si="5"/>
        <v>0</v>
      </c>
      <c r="O62" s="144"/>
      <c r="P62" s="150">
        <v>53.834595500866094</v>
      </c>
      <c r="Q62" s="236">
        <f t="shared" si="0"/>
        <v>55.720875958967959</v>
      </c>
      <c r="R62" s="238">
        <f t="shared" si="1"/>
        <v>1.0350384439699472</v>
      </c>
    </row>
    <row r="63" spans="1:18" ht="33.75" x14ac:dyDescent="0.35">
      <c r="A63" s="192" t="s">
        <v>179</v>
      </c>
      <c r="B63" s="3" t="s">
        <v>299</v>
      </c>
      <c r="C63" s="3" t="s">
        <v>300</v>
      </c>
      <c r="D63" s="177" t="s">
        <v>203</v>
      </c>
      <c r="E63" s="177" t="s">
        <v>203</v>
      </c>
      <c r="F63" s="177" t="s">
        <v>203</v>
      </c>
      <c r="G63" s="177" t="s">
        <v>203</v>
      </c>
      <c r="H63" s="177" t="s">
        <v>203</v>
      </c>
      <c r="I63" s="177" t="s">
        <v>203</v>
      </c>
      <c r="J63" s="177" t="s">
        <v>203</v>
      </c>
      <c r="K63" s="133"/>
      <c r="L63" s="133" t="s">
        <v>292</v>
      </c>
      <c r="M63" s="150">
        <v>111.44175191793592</v>
      </c>
      <c r="N63" s="186">
        <f t="shared" si="5"/>
        <v>0</v>
      </c>
      <c r="O63" s="144"/>
      <c r="P63" s="150">
        <v>107.66919100173219</v>
      </c>
      <c r="Q63" s="236">
        <f t="shared" si="0"/>
        <v>111.44175191793592</v>
      </c>
      <c r="R63" s="238">
        <f t="shared" si="1"/>
        <v>1.0350384439699472</v>
      </c>
    </row>
    <row r="64" spans="1:18" ht="24" thickBot="1" x14ac:dyDescent="0.4">
      <c r="A64" s="183" t="s">
        <v>181</v>
      </c>
      <c r="B64" s="181" t="s">
        <v>301</v>
      </c>
      <c r="C64" s="181" t="s">
        <v>302</v>
      </c>
      <c r="D64" s="188" t="s">
        <v>203</v>
      </c>
      <c r="E64" s="148" t="s">
        <v>194</v>
      </c>
      <c r="F64" s="148" t="s">
        <v>194</v>
      </c>
      <c r="G64" s="148" t="s">
        <v>194</v>
      </c>
      <c r="H64" s="148" t="s">
        <v>194</v>
      </c>
      <c r="I64" s="148" t="s">
        <v>194</v>
      </c>
      <c r="J64" s="148" t="s">
        <v>194</v>
      </c>
      <c r="K64" s="148"/>
      <c r="L64" s="148" t="s">
        <v>353</v>
      </c>
      <c r="M64" s="150">
        <v>428.10847288998912</v>
      </c>
      <c r="N64" s="190">
        <f t="shared" si="5"/>
        <v>0</v>
      </c>
      <c r="O64" s="144"/>
      <c r="P64" s="150">
        <v>413.61601144780229</v>
      </c>
      <c r="Q64" s="236">
        <f t="shared" si="0"/>
        <v>428.10847288998912</v>
      </c>
      <c r="R64" s="238">
        <f t="shared" si="1"/>
        <v>1.0350384439699472</v>
      </c>
    </row>
    <row r="65" spans="1:18" ht="51" customHeight="1" thickBot="1" x14ac:dyDescent="0.4">
      <c r="A65" s="167">
        <v>9</v>
      </c>
      <c r="B65" s="168" t="s">
        <v>304</v>
      </c>
      <c r="C65" s="169"/>
      <c r="D65" s="217" t="s">
        <v>88</v>
      </c>
      <c r="E65" s="170" t="s">
        <v>117</v>
      </c>
      <c r="F65" s="170" t="s">
        <v>118</v>
      </c>
      <c r="G65" s="171" t="s">
        <v>119</v>
      </c>
      <c r="H65" s="171" t="s">
        <v>120</v>
      </c>
      <c r="I65" s="172" t="s">
        <v>121</v>
      </c>
      <c r="J65" s="172" t="s">
        <v>122</v>
      </c>
      <c r="K65" s="173"/>
      <c r="L65" s="173" t="s">
        <v>188</v>
      </c>
      <c r="M65" s="196" t="s">
        <v>189</v>
      </c>
      <c r="N65" s="174"/>
      <c r="O65" s="144"/>
      <c r="P65" s="196" t="s">
        <v>189</v>
      </c>
      <c r="Q65" s="196" t="s">
        <v>189</v>
      </c>
      <c r="R65" s="238" t="e">
        <f t="shared" si="1"/>
        <v>#VALUE!</v>
      </c>
    </row>
    <row r="66" spans="1:18" ht="45" x14ac:dyDescent="0.35">
      <c r="A66" s="183" t="s">
        <v>305</v>
      </c>
      <c r="B66" s="5" t="s">
        <v>306</v>
      </c>
      <c r="C66" s="5" t="s">
        <v>307</v>
      </c>
      <c r="D66" s="149" t="s">
        <v>194</v>
      </c>
      <c r="E66" s="149" t="s">
        <v>194</v>
      </c>
      <c r="F66" s="149" t="s">
        <v>194</v>
      </c>
      <c r="G66" s="149" t="s">
        <v>115</v>
      </c>
      <c r="H66" s="149" t="s">
        <v>115</v>
      </c>
      <c r="I66" s="149" t="s">
        <v>115</v>
      </c>
      <c r="J66" s="149" t="s">
        <v>115</v>
      </c>
      <c r="K66" s="242"/>
      <c r="L66" s="242" t="s">
        <v>308</v>
      </c>
      <c r="M66" s="152">
        <v>50.727419026609816</v>
      </c>
      <c r="N66" s="185"/>
      <c r="O66" s="144"/>
      <c r="P66" s="152">
        <v>49.010178628768607</v>
      </c>
      <c r="Q66" s="236">
        <f t="shared" si="0"/>
        <v>50.727419026609816</v>
      </c>
      <c r="R66" s="238">
        <f t="shared" si="1"/>
        <v>1.0350384439699472</v>
      </c>
    </row>
    <row r="67" spans="1:18" ht="45.75" thickBot="1" x14ac:dyDescent="0.4">
      <c r="A67" s="183" t="s">
        <v>309</v>
      </c>
      <c r="B67" s="193" t="s">
        <v>310</v>
      </c>
      <c r="C67" s="193" t="s">
        <v>311</v>
      </c>
      <c r="D67" s="145" t="s">
        <v>194</v>
      </c>
      <c r="E67" s="145" t="s">
        <v>115</v>
      </c>
      <c r="F67" s="145" t="s">
        <v>115</v>
      </c>
      <c r="G67" s="145" t="s">
        <v>115</v>
      </c>
      <c r="H67" s="145" t="s">
        <v>115</v>
      </c>
      <c r="I67" s="145" t="s">
        <v>115</v>
      </c>
      <c r="J67" s="145" t="s">
        <v>115</v>
      </c>
      <c r="K67" s="243"/>
      <c r="L67" s="243" t="s">
        <v>308</v>
      </c>
      <c r="M67" s="151">
        <v>108.36954890453575</v>
      </c>
      <c r="N67" s="194"/>
      <c r="O67" s="144"/>
      <c r="P67" s="151">
        <v>104.7009891621787</v>
      </c>
      <c r="Q67" s="236">
        <f t="shared" si="0"/>
        <v>108.36954890453575</v>
      </c>
      <c r="R67" s="238">
        <f t="shared" si="1"/>
        <v>1.0350384439699472</v>
      </c>
    </row>
    <row r="68" spans="1:18" ht="23.25" x14ac:dyDescent="0.35">
      <c r="D68" s="209" t="s">
        <v>115</v>
      </c>
      <c r="E68" s="2" t="s">
        <v>115</v>
      </c>
      <c r="F68" s="2" t="s">
        <v>115</v>
      </c>
      <c r="G68" s="2" t="s">
        <v>115</v>
      </c>
      <c r="H68" s="2" t="s">
        <v>115</v>
      </c>
      <c r="I68" s="2" t="s">
        <v>115</v>
      </c>
      <c r="J68" s="2" t="s">
        <v>115</v>
      </c>
      <c r="N68" s="202">
        <f>SUBTOTAL(9,N10:N67)</f>
        <v>0</v>
      </c>
      <c r="O68" s="144"/>
      <c r="Q68" s="144"/>
    </row>
    <row r="69" spans="1:18" ht="24" thickBot="1" x14ac:dyDescent="0.4">
      <c r="D69" s="246"/>
      <c r="M69" s="247"/>
      <c r="N69" s="248"/>
      <c r="O69" s="144"/>
      <c r="P69" s="247"/>
      <c r="Q69" s="144"/>
    </row>
    <row r="70" spans="1:18" x14ac:dyDescent="0.25">
      <c r="A70" s="249" t="s">
        <v>354</v>
      </c>
      <c r="B70" s="250"/>
      <c r="C70" s="251"/>
      <c r="E70" s="250"/>
      <c r="F70" s="250"/>
      <c r="G70" s="250"/>
      <c r="H70" s="250"/>
      <c r="I70" s="250"/>
      <c r="J70" s="250"/>
      <c r="K70" s="252"/>
      <c r="L70" s="252"/>
      <c r="M70" s="253"/>
      <c r="N70" s="254"/>
      <c r="O70" s="255"/>
      <c r="P70" s="253"/>
      <c r="Q70" s="255"/>
    </row>
    <row r="71" spans="1:18" x14ac:dyDescent="0.25">
      <c r="A71" s="500" t="s">
        <v>355</v>
      </c>
      <c r="B71" s="501"/>
      <c r="C71" s="501"/>
      <c r="D71" s="501"/>
      <c r="E71" s="501"/>
      <c r="F71" s="501"/>
      <c r="G71" s="501"/>
      <c r="H71" s="501"/>
      <c r="I71" s="501"/>
      <c r="J71" s="501"/>
      <c r="K71" s="501"/>
      <c r="L71" s="501"/>
      <c r="M71" s="501"/>
      <c r="N71" s="504"/>
      <c r="O71" s="255"/>
      <c r="P71" s="255"/>
      <c r="Q71" s="255"/>
    </row>
    <row r="72" spans="1:18" ht="15" customHeight="1" x14ac:dyDescent="0.25">
      <c r="A72" s="500" t="s">
        <v>356</v>
      </c>
      <c r="B72" s="501"/>
      <c r="C72" s="270"/>
      <c r="K72" s="256"/>
      <c r="L72" s="256"/>
      <c r="M72" s="253"/>
      <c r="N72" s="257"/>
      <c r="O72" s="255"/>
      <c r="P72" s="253"/>
      <c r="Q72" s="255"/>
    </row>
    <row r="73" spans="1:18" x14ac:dyDescent="0.25">
      <c r="A73" s="258"/>
      <c r="C73" s="270"/>
      <c r="K73" s="256"/>
      <c r="L73" s="256"/>
      <c r="M73" s="253"/>
      <c r="N73" s="257"/>
      <c r="O73" s="255"/>
      <c r="P73" s="253"/>
      <c r="Q73" s="255"/>
    </row>
    <row r="74" spans="1:18" x14ac:dyDescent="0.25">
      <c r="A74" s="500" t="s">
        <v>357</v>
      </c>
      <c r="B74" s="501"/>
      <c r="C74" s="270"/>
      <c r="K74" s="256"/>
      <c r="L74" s="256"/>
      <c r="M74" s="253"/>
      <c r="N74" s="257"/>
      <c r="O74" s="255"/>
      <c r="P74" s="253"/>
      <c r="Q74" s="255"/>
    </row>
    <row r="75" spans="1:18" x14ac:dyDescent="0.25">
      <c r="A75" s="500" t="s">
        <v>358</v>
      </c>
      <c r="B75" s="501"/>
      <c r="C75" s="270"/>
      <c r="K75" s="256"/>
      <c r="L75" s="256"/>
      <c r="M75" s="253"/>
      <c r="N75" s="257"/>
      <c r="O75" s="255"/>
      <c r="P75" s="253"/>
      <c r="Q75" s="255"/>
    </row>
    <row r="76" spans="1:18" ht="10.35" customHeight="1" x14ac:dyDescent="0.25">
      <c r="A76" s="500" t="s">
        <v>359</v>
      </c>
      <c r="B76" s="501"/>
      <c r="C76" s="501"/>
      <c r="K76" s="256"/>
      <c r="L76" s="256"/>
      <c r="M76" s="253"/>
      <c r="N76" s="257"/>
      <c r="O76" s="255"/>
      <c r="P76" s="253"/>
      <c r="Q76" s="255"/>
    </row>
    <row r="77" spans="1:18" x14ac:dyDescent="0.25">
      <c r="A77" s="500" t="s">
        <v>360</v>
      </c>
      <c r="B77" s="501"/>
      <c r="C77" s="501"/>
      <c r="K77" s="256"/>
      <c r="L77" s="256"/>
      <c r="M77" s="253"/>
      <c r="N77" s="257"/>
      <c r="O77" s="255"/>
      <c r="P77" s="253"/>
      <c r="Q77" s="255"/>
    </row>
    <row r="78" spans="1:18" x14ac:dyDescent="0.25">
      <c r="A78" s="500" t="s">
        <v>361</v>
      </c>
      <c r="B78" s="501"/>
      <c r="C78" s="501"/>
      <c r="K78" s="256"/>
      <c r="L78" s="256"/>
      <c r="M78" s="253"/>
      <c r="N78" s="257"/>
      <c r="O78" s="255"/>
      <c r="P78" s="253"/>
      <c r="Q78" s="255"/>
    </row>
    <row r="79" spans="1:18" x14ac:dyDescent="0.25">
      <c r="A79" s="500" t="s">
        <v>362</v>
      </c>
      <c r="B79" s="501"/>
      <c r="C79" s="501"/>
      <c r="K79" s="256"/>
      <c r="L79" s="256"/>
      <c r="M79" s="253"/>
      <c r="N79" s="257"/>
      <c r="O79" s="255"/>
      <c r="P79" s="253"/>
      <c r="Q79" s="255"/>
    </row>
    <row r="80" spans="1:18" ht="8.1" customHeight="1" x14ac:dyDescent="0.25">
      <c r="A80" s="259"/>
      <c r="C80" s="270"/>
      <c r="K80" s="256"/>
      <c r="L80" s="256"/>
      <c r="M80" s="253"/>
      <c r="N80" s="257"/>
      <c r="O80" s="255"/>
      <c r="P80" s="253"/>
      <c r="Q80" s="255"/>
    </row>
    <row r="81" spans="1:17" ht="12" thickBot="1" x14ac:dyDescent="0.3">
      <c r="A81" s="497" t="s">
        <v>363</v>
      </c>
      <c r="B81" s="498"/>
      <c r="C81" s="498"/>
      <c r="D81" s="498"/>
      <c r="E81" s="498"/>
      <c r="F81" s="498"/>
      <c r="G81" s="498"/>
      <c r="H81" s="498"/>
      <c r="I81" s="498"/>
      <c r="J81" s="498"/>
      <c r="K81" s="498"/>
      <c r="L81" s="498"/>
      <c r="M81" s="498"/>
      <c r="N81" s="499"/>
      <c r="O81" s="255"/>
      <c r="P81" s="255"/>
      <c r="Q81" s="255"/>
    </row>
    <row r="82" spans="1:17" ht="12.75" x14ac:dyDescent="0.25">
      <c r="A82" s="260"/>
      <c r="C82" s="270"/>
      <c r="O82" s="255"/>
      <c r="Q82" s="255"/>
    </row>
    <row r="83" spans="1:17" ht="12.75" x14ac:dyDescent="0.25">
      <c r="A83" s="260"/>
      <c r="C83" s="270"/>
      <c r="O83" s="255"/>
      <c r="Q83" s="255"/>
    </row>
    <row r="84" spans="1:17" ht="12.75" x14ac:dyDescent="0.25">
      <c r="A84" s="260"/>
      <c r="C84" s="270"/>
      <c r="O84" s="255"/>
      <c r="Q84" s="255"/>
    </row>
    <row r="85" spans="1:17" x14ac:dyDescent="0.25">
      <c r="C85" s="270"/>
      <c r="O85" s="255"/>
      <c r="Q85" s="255"/>
    </row>
    <row r="86" spans="1:17" x14ac:dyDescent="0.25">
      <c r="C86" s="270"/>
      <c r="O86" s="255"/>
      <c r="Q86" s="255"/>
    </row>
    <row r="87" spans="1:17" x14ac:dyDescent="0.25">
      <c r="C87" s="270"/>
      <c r="O87" s="255"/>
      <c r="Q87" s="255"/>
    </row>
    <row r="88" spans="1:17" x14ac:dyDescent="0.25">
      <c r="C88" s="270"/>
      <c r="O88" s="255"/>
      <c r="Q88" s="255"/>
    </row>
    <row r="89" spans="1:17" x14ac:dyDescent="0.25">
      <c r="C89" s="270"/>
      <c r="O89" s="255"/>
      <c r="Q89" s="255"/>
    </row>
    <row r="90" spans="1:17" x14ac:dyDescent="0.25">
      <c r="C90" s="270"/>
      <c r="O90" s="255"/>
      <c r="Q90" s="255"/>
    </row>
    <row r="91" spans="1:17" x14ac:dyDescent="0.25">
      <c r="C91" s="270"/>
      <c r="O91" s="255"/>
      <c r="Q91" s="255"/>
    </row>
    <row r="92" spans="1:17" x14ac:dyDescent="0.25">
      <c r="C92" s="270"/>
      <c r="O92" s="255"/>
      <c r="Q92" s="255"/>
    </row>
    <row r="93" spans="1:17" x14ac:dyDescent="0.25">
      <c r="C93" s="270"/>
      <c r="O93" s="255"/>
      <c r="Q93" s="255"/>
    </row>
    <row r="94" spans="1:17" x14ac:dyDescent="0.25">
      <c r="C94" s="270"/>
      <c r="O94" s="255"/>
      <c r="Q94" s="255"/>
    </row>
    <row r="95" spans="1:17" x14ac:dyDescent="0.25">
      <c r="C95" s="270"/>
      <c r="O95" s="255"/>
      <c r="Q95" s="255"/>
    </row>
    <row r="96" spans="1:17" x14ac:dyDescent="0.25">
      <c r="C96" s="270"/>
      <c r="O96" s="255"/>
      <c r="Q96" s="255"/>
    </row>
    <row r="97" spans="3:17" x14ac:dyDescent="0.25">
      <c r="C97" s="270"/>
      <c r="O97" s="255"/>
      <c r="Q97" s="255"/>
    </row>
    <row r="98" spans="3:17" x14ac:dyDescent="0.25">
      <c r="C98" s="270"/>
      <c r="O98" s="255"/>
      <c r="Q98" s="255"/>
    </row>
    <row r="99" spans="3:17" x14ac:dyDescent="0.25">
      <c r="C99" s="270"/>
      <c r="O99" s="255"/>
      <c r="Q99" s="255"/>
    </row>
    <row r="100" spans="3:17" x14ac:dyDescent="0.25">
      <c r="C100" s="270"/>
      <c r="O100" s="255"/>
      <c r="Q100" s="255"/>
    </row>
    <row r="101" spans="3:17" x14ac:dyDescent="0.25">
      <c r="C101" s="270"/>
      <c r="O101" s="255"/>
      <c r="Q101" s="255"/>
    </row>
    <row r="102" spans="3:17" x14ac:dyDescent="0.25">
      <c r="C102" s="270"/>
      <c r="O102" s="255"/>
      <c r="Q102" s="255"/>
    </row>
    <row r="103" spans="3:17" x14ac:dyDescent="0.25">
      <c r="C103" s="270"/>
      <c r="O103" s="255"/>
      <c r="Q103" s="255"/>
    </row>
    <row r="104" spans="3:17" x14ac:dyDescent="0.25">
      <c r="C104" s="270"/>
      <c r="O104" s="255"/>
      <c r="Q104" s="255"/>
    </row>
    <row r="105" spans="3:17" x14ac:dyDescent="0.25">
      <c r="C105" s="270"/>
      <c r="O105" s="255"/>
      <c r="Q105" s="255"/>
    </row>
    <row r="106" spans="3:17" x14ac:dyDescent="0.25">
      <c r="C106" s="270"/>
      <c r="O106" s="255"/>
      <c r="Q106" s="255"/>
    </row>
    <row r="107" spans="3:17" x14ac:dyDescent="0.25">
      <c r="C107" s="270"/>
      <c r="O107" s="255"/>
      <c r="Q107" s="255"/>
    </row>
    <row r="108" spans="3:17" x14ac:dyDescent="0.25">
      <c r="C108" s="270"/>
      <c r="O108" s="255"/>
      <c r="Q108" s="255"/>
    </row>
    <row r="109" spans="3:17" x14ac:dyDescent="0.25">
      <c r="C109" s="270"/>
      <c r="O109" s="255"/>
      <c r="Q109" s="255"/>
    </row>
    <row r="110" spans="3:17" x14ac:dyDescent="0.25">
      <c r="C110" s="270"/>
      <c r="O110" s="255"/>
      <c r="Q110" s="255"/>
    </row>
    <row r="111" spans="3:17" x14ac:dyDescent="0.25">
      <c r="C111" s="270"/>
      <c r="O111" s="255"/>
      <c r="Q111" s="255"/>
    </row>
    <row r="112" spans="3:17" x14ac:dyDescent="0.25">
      <c r="C112" s="270"/>
      <c r="O112" s="255"/>
      <c r="Q112" s="255"/>
    </row>
  </sheetData>
  <sheetProtection algorithmName="SHA-512" hashValue="G+TugU0hL6ZbCZla4mhMV2+8ktejzYM6h0il/JjDeNkStqpDkGQHDky5RToI22rF0zlijtzjOtLs9l3aTAzYLQ==" saltValue="/g0gPrWRvBtF+16bMbhZ/Q==" spinCount="100000" sheet="1" selectLockedCells="1" sort="0" autoFilter="0"/>
  <autoFilter ref="A8:N8" xr:uid="{00000000-0001-0000-0A00-000000000000}">
    <filterColumn colId="3" showButton="0"/>
    <filterColumn colId="4" showButton="0"/>
    <filterColumn colId="5" showButton="0"/>
    <filterColumn colId="6" showButton="0"/>
    <filterColumn colId="7" showButton="0"/>
    <filterColumn colId="8" showButton="0"/>
    <filterColumn colId="11" showButton="0"/>
  </autoFilter>
  <mergeCells count="13">
    <mergeCell ref="Q3:U3"/>
    <mergeCell ref="A81:N81"/>
    <mergeCell ref="A78:C78"/>
    <mergeCell ref="A79:C79"/>
    <mergeCell ref="A74:B74"/>
    <mergeCell ref="A75:B75"/>
    <mergeCell ref="A76:C76"/>
    <mergeCell ref="A77:C77"/>
    <mergeCell ref="B34:C34"/>
    <mergeCell ref="D8:J8"/>
    <mergeCell ref="L8:M8"/>
    <mergeCell ref="A71:N71"/>
    <mergeCell ref="A72:B72"/>
  </mergeCells>
  <conditionalFormatting sqref="D16:D18 E16:J42 D20:D26 D28:D29 D31:D33 D35:D42 E45:J67 D46:D51 D53:D56 D58:D64 D66:D67">
    <cfRule type="containsText" dxfId="8" priority="10" operator="containsText" text="nee">
      <formula>NOT(ISERROR(SEARCH("nee",D16)))</formula>
    </cfRule>
    <cfRule type="containsText" dxfId="7" priority="11" operator="containsText" text="optie">
      <formula>NOT(ISERROR(SEARCH("optie",D16)))</formula>
    </cfRule>
    <cfRule type="containsText" dxfId="6" priority="12" operator="containsText" text="ja">
      <formula>NOT(ISERROR(SEARCH("ja",D16)))</formula>
    </cfRule>
  </conditionalFormatting>
  <conditionalFormatting sqref="D10:J15">
    <cfRule type="containsText" dxfId="5" priority="7" operator="containsText" text="nee">
      <formula>NOT(ISERROR(SEARCH("nee",D10)))</formula>
    </cfRule>
    <cfRule type="containsText" dxfId="4" priority="8" operator="containsText" text="optie">
      <formula>NOT(ISERROR(SEARCH("optie",D10)))</formula>
    </cfRule>
    <cfRule type="containsText" dxfId="3" priority="9" operator="containsText" text="ja">
      <formula>NOT(ISERROR(SEARCH("ja",D10)))</formula>
    </cfRule>
  </conditionalFormatting>
  <conditionalFormatting sqref="D43:J44">
    <cfRule type="containsText" dxfId="2" priority="4" operator="containsText" text="nee">
      <formula>NOT(ISERROR(SEARCH("nee",D43)))</formula>
    </cfRule>
    <cfRule type="containsText" dxfId="1" priority="5" operator="containsText" text="optie">
      <formula>NOT(ISERROR(SEARCH("optie",D43)))</formula>
    </cfRule>
    <cfRule type="containsText" dxfId="0" priority="6" operator="containsText" text="ja">
      <formula>NOT(ISERROR(SEARCH("ja",D43)))</formula>
    </cfRule>
  </conditionalFormatting>
  <hyperlinks>
    <hyperlink ref="Q2" r:id="rId1" xr:uid="{A40562DF-6CD3-4CDB-B048-6E979D9ED227}"/>
  </hyperlinks>
  <pageMargins left="0.25" right="0.25" top="0.75" bottom="0.75" header="0.3" footer="0.3"/>
  <pageSetup paperSize="8" fitToHeight="0" orientation="landscape"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J60"/>
  <sheetViews>
    <sheetView showGridLines="0" workbookViewId="0">
      <pane ySplit="3" topLeftCell="A4" activePane="bottomLeft" state="frozen"/>
      <selection pane="bottomLeft" activeCell="F4" sqref="F4"/>
    </sheetView>
  </sheetViews>
  <sheetFormatPr defaultColWidth="9.28515625" defaultRowHeight="15" x14ac:dyDescent="0.25"/>
  <cols>
    <col min="1" max="1" width="18.28515625" style="204" bestFit="1" customWidth="1"/>
    <col min="2" max="2" width="11.42578125" style="204" customWidth="1"/>
    <col min="3" max="3" width="12.28515625" style="204" customWidth="1"/>
    <col min="4" max="4" width="26.42578125" style="204" bestFit="1" customWidth="1"/>
    <col min="5" max="5" width="11.7109375" style="204" bestFit="1" customWidth="1"/>
    <col min="6" max="6" width="92.85546875" style="204" customWidth="1"/>
    <col min="7" max="9" width="9.28515625" style="204"/>
    <col min="10" max="10" width="33" style="204" customWidth="1"/>
    <col min="11" max="16384" width="9.28515625" style="204"/>
  </cols>
  <sheetData>
    <row r="1" spans="1:6" ht="18.75" x14ac:dyDescent="0.25">
      <c r="A1" s="138" t="s">
        <v>364</v>
      </c>
      <c r="B1" s="138"/>
      <c r="C1" s="203"/>
      <c r="D1" s="203"/>
      <c r="E1" s="203" t="s">
        <v>76</v>
      </c>
      <c r="F1" s="203" t="s">
        <v>365</v>
      </c>
    </row>
    <row r="2" spans="1:6" ht="18.75" x14ac:dyDescent="0.25">
      <c r="A2" s="138"/>
      <c r="B2" s="138"/>
      <c r="C2" s="203"/>
      <c r="D2" s="203"/>
      <c r="E2" s="203"/>
      <c r="F2" s="203" t="s">
        <v>366</v>
      </c>
    </row>
    <row r="3" spans="1:6" x14ac:dyDescent="0.25">
      <c r="A3" s="203" t="s">
        <v>367</v>
      </c>
      <c r="B3" s="203" t="s">
        <v>368</v>
      </c>
      <c r="C3" s="203" t="s">
        <v>369</v>
      </c>
      <c r="D3" s="203" t="s">
        <v>370</v>
      </c>
      <c r="E3" s="203" t="s">
        <v>487</v>
      </c>
      <c r="F3" s="203" t="s">
        <v>371</v>
      </c>
    </row>
    <row r="4" spans="1:6" ht="60" customHeight="1" x14ac:dyDescent="0.25">
      <c r="A4" s="206" t="s">
        <v>484</v>
      </c>
      <c r="B4" s="266" t="s">
        <v>373</v>
      </c>
      <c r="C4" s="473">
        <v>46119</v>
      </c>
      <c r="D4" s="474" t="s">
        <v>483</v>
      </c>
      <c r="E4" s="266" t="s">
        <v>486</v>
      </c>
      <c r="F4" s="261" t="s">
        <v>485</v>
      </c>
    </row>
    <row r="5" spans="1:6" ht="75" x14ac:dyDescent="0.25">
      <c r="A5" s="206" t="s">
        <v>372</v>
      </c>
      <c r="B5" s="206" t="s">
        <v>373</v>
      </c>
      <c r="C5" s="207">
        <v>46111</v>
      </c>
      <c r="D5" s="206" t="s">
        <v>117</v>
      </c>
      <c r="E5" s="206" t="s">
        <v>374</v>
      </c>
      <c r="F5" s="261" t="s">
        <v>375</v>
      </c>
    </row>
    <row r="6" spans="1:6" ht="75" x14ac:dyDescent="0.25">
      <c r="A6" s="206" t="s">
        <v>372</v>
      </c>
      <c r="B6" s="206" t="s">
        <v>373</v>
      </c>
      <c r="C6" s="207">
        <v>46111</v>
      </c>
      <c r="D6" s="206" t="s">
        <v>118</v>
      </c>
      <c r="E6" s="206" t="s">
        <v>374</v>
      </c>
      <c r="F6" s="261" t="s">
        <v>376</v>
      </c>
    </row>
    <row r="7" spans="1:6" ht="60" x14ac:dyDescent="0.25">
      <c r="A7" s="206" t="s">
        <v>377</v>
      </c>
      <c r="B7" s="206" t="s">
        <v>373</v>
      </c>
      <c r="C7" s="207">
        <v>46090</v>
      </c>
      <c r="D7" s="206" t="s">
        <v>378</v>
      </c>
      <c r="E7" s="206" t="s">
        <v>379</v>
      </c>
      <c r="F7" s="261" t="s">
        <v>380</v>
      </c>
    </row>
    <row r="8" spans="1:6" x14ac:dyDescent="0.25">
      <c r="A8" s="206" t="s">
        <v>381</v>
      </c>
      <c r="B8" s="206" t="s">
        <v>373</v>
      </c>
      <c r="C8" s="207">
        <v>45994</v>
      </c>
      <c r="D8" s="206" t="s">
        <v>382</v>
      </c>
      <c r="E8" s="206" t="s">
        <v>383</v>
      </c>
      <c r="F8" s="266" t="s">
        <v>384</v>
      </c>
    </row>
    <row r="9" spans="1:6" ht="45" x14ac:dyDescent="0.25">
      <c r="A9" s="206" t="s">
        <v>385</v>
      </c>
      <c r="B9" s="206" t="s">
        <v>373</v>
      </c>
      <c r="C9" s="207">
        <v>45740</v>
      </c>
      <c r="D9" s="206"/>
      <c r="E9" s="206" t="s">
        <v>383</v>
      </c>
      <c r="F9" s="261" t="s">
        <v>386</v>
      </c>
    </row>
    <row r="10" spans="1:6" x14ac:dyDescent="0.25">
      <c r="A10" s="206" t="s">
        <v>387</v>
      </c>
      <c r="B10" s="206" t="s">
        <v>373</v>
      </c>
      <c r="C10" s="207">
        <v>45708</v>
      </c>
      <c r="D10" s="206"/>
      <c r="E10" s="206" t="s">
        <v>388</v>
      </c>
      <c r="F10" s="206" t="s">
        <v>389</v>
      </c>
    </row>
    <row r="11" spans="1:6" x14ac:dyDescent="0.25">
      <c r="A11" s="206" t="s">
        <v>387</v>
      </c>
      <c r="B11" s="206" t="s">
        <v>373</v>
      </c>
      <c r="C11" s="207">
        <v>45708</v>
      </c>
      <c r="D11" s="206"/>
      <c r="E11" s="206" t="s">
        <v>383</v>
      </c>
      <c r="F11" s="206" t="s">
        <v>389</v>
      </c>
    </row>
    <row r="12" spans="1:6" x14ac:dyDescent="0.25">
      <c r="A12" s="206" t="s">
        <v>390</v>
      </c>
      <c r="B12" s="206" t="s">
        <v>373</v>
      </c>
      <c r="C12" s="207">
        <v>45656</v>
      </c>
      <c r="D12" s="206" t="s">
        <v>382</v>
      </c>
      <c r="E12" s="206"/>
      <c r="F12" s="206" t="s">
        <v>391</v>
      </c>
    </row>
    <row r="13" spans="1:6" x14ac:dyDescent="0.25">
      <c r="A13" s="205" t="s">
        <v>392</v>
      </c>
      <c r="B13" s="206" t="s">
        <v>373</v>
      </c>
      <c r="C13" s="207">
        <v>45589</v>
      </c>
      <c r="D13" s="206"/>
      <c r="E13" s="206" t="s">
        <v>383</v>
      </c>
      <c r="F13" s="206" t="s">
        <v>393</v>
      </c>
    </row>
    <row r="14" spans="1:6" x14ac:dyDescent="0.25">
      <c r="A14" s="205" t="s">
        <v>394</v>
      </c>
      <c r="B14" s="206" t="s">
        <v>373</v>
      </c>
      <c r="C14" s="207">
        <v>45328</v>
      </c>
      <c r="D14" s="206"/>
      <c r="E14" s="206" t="s">
        <v>379</v>
      </c>
      <c r="F14" s="206" t="s">
        <v>395</v>
      </c>
    </row>
    <row r="15" spans="1:6" x14ac:dyDescent="0.25">
      <c r="A15" s="205" t="s">
        <v>396</v>
      </c>
      <c r="B15" s="206" t="s">
        <v>397</v>
      </c>
      <c r="C15" s="207">
        <v>45308</v>
      </c>
      <c r="D15" s="206"/>
      <c r="E15" s="206" t="s">
        <v>379</v>
      </c>
      <c r="F15" s="206" t="s">
        <v>398</v>
      </c>
    </row>
    <row r="16" spans="1:6" x14ac:dyDescent="0.25">
      <c r="A16" s="205" t="s">
        <v>399</v>
      </c>
      <c r="B16" s="206" t="s">
        <v>397</v>
      </c>
      <c r="C16" s="207">
        <v>45218</v>
      </c>
      <c r="D16" s="206"/>
      <c r="E16" s="206" t="s">
        <v>379</v>
      </c>
      <c r="F16" s="206" t="s">
        <v>400</v>
      </c>
    </row>
    <row r="17" spans="1:10" ht="15" customHeight="1" x14ac:dyDescent="0.25">
      <c r="A17" s="205" t="s">
        <v>401</v>
      </c>
      <c r="B17" s="206" t="s">
        <v>397</v>
      </c>
      <c r="C17" s="207">
        <v>45216</v>
      </c>
      <c r="D17" s="206"/>
      <c r="E17" s="206" t="s">
        <v>379</v>
      </c>
      <c r="F17" s="206" t="s">
        <v>402</v>
      </c>
    </row>
    <row r="18" spans="1:10" ht="15.75" thickBot="1" x14ac:dyDescent="0.3">
      <c r="A18" s="205" t="s">
        <v>403</v>
      </c>
      <c r="B18" s="206" t="s">
        <v>373</v>
      </c>
      <c r="C18" s="207">
        <v>44964</v>
      </c>
      <c r="D18" s="206"/>
      <c r="E18" s="206" t="s">
        <v>379</v>
      </c>
      <c r="F18" s="206" t="s">
        <v>404</v>
      </c>
    </row>
    <row r="19" spans="1:10" x14ac:dyDescent="0.25">
      <c r="A19" s="205" t="s">
        <v>405</v>
      </c>
      <c r="B19" s="206" t="s">
        <v>373</v>
      </c>
      <c r="C19" s="207">
        <v>44562</v>
      </c>
      <c r="D19" s="206"/>
      <c r="E19" s="206" t="s">
        <v>379</v>
      </c>
      <c r="F19" s="206" t="s">
        <v>406</v>
      </c>
      <c r="J19" s="139" t="s">
        <v>407</v>
      </c>
    </row>
    <row r="20" spans="1:10" x14ac:dyDescent="0.25">
      <c r="A20" s="205" t="s">
        <v>408</v>
      </c>
      <c r="B20" s="206" t="s">
        <v>373</v>
      </c>
      <c r="C20" s="207">
        <v>44315</v>
      </c>
      <c r="D20" s="206"/>
      <c r="E20" s="206" t="s">
        <v>379</v>
      </c>
      <c r="F20" s="206" t="s">
        <v>409</v>
      </c>
      <c r="J20" s="271" t="s">
        <v>410</v>
      </c>
    </row>
    <row r="21" spans="1:10" x14ac:dyDescent="0.25">
      <c r="A21" s="205" t="s">
        <v>411</v>
      </c>
      <c r="B21" s="206" t="s">
        <v>373</v>
      </c>
      <c r="C21" s="207">
        <v>44287</v>
      </c>
      <c r="D21" s="206"/>
      <c r="E21" s="206" t="s">
        <v>379</v>
      </c>
      <c r="F21" s="206" t="s">
        <v>412</v>
      </c>
      <c r="J21" s="271" t="s">
        <v>413</v>
      </c>
    </row>
    <row r="22" spans="1:10" x14ac:dyDescent="0.25">
      <c r="A22" s="205" t="s">
        <v>414</v>
      </c>
      <c r="B22" s="206" t="s">
        <v>373</v>
      </c>
      <c r="C22" s="207">
        <v>44064</v>
      </c>
      <c r="D22" s="206" t="s">
        <v>313</v>
      </c>
      <c r="E22" s="206" t="s">
        <v>379</v>
      </c>
      <c r="F22" s="206" t="s">
        <v>415</v>
      </c>
      <c r="J22" s="271" t="s">
        <v>313</v>
      </c>
    </row>
    <row r="23" spans="1:10" x14ac:dyDescent="0.25">
      <c r="A23" s="205" t="s">
        <v>416</v>
      </c>
      <c r="B23" s="206" t="s">
        <v>373</v>
      </c>
      <c r="C23" s="207">
        <v>44028</v>
      </c>
      <c r="D23" s="206"/>
      <c r="E23" s="206" t="s">
        <v>379</v>
      </c>
      <c r="F23" s="206" t="s">
        <v>417</v>
      </c>
      <c r="J23" s="271" t="s">
        <v>117</v>
      </c>
    </row>
    <row r="24" spans="1:10" x14ac:dyDescent="0.25">
      <c r="A24" s="205" t="s">
        <v>418</v>
      </c>
      <c r="B24" s="206" t="s">
        <v>373</v>
      </c>
      <c r="C24" s="207">
        <v>43958</v>
      </c>
      <c r="D24" s="206"/>
      <c r="E24" s="206" t="s">
        <v>379</v>
      </c>
      <c r="F24" s="206" t="s">
        <v>419</v>
      </c>
      <c r="J24" s="271" t="s">
        <v>118</v>
      </c>
    </row>
    <row r="25" spans="1:10" x14ac:dyDescent="0.25">
      <c r="A25" s="205" t="s">
        <v>420</v>
      </c>
      <c r="B25" s="206" t="s">
        <v>373</v>
      </c>
      <c r="C25" s="207">
        <v>43508</v>
      </c>
      <c r="D25" s="206"/>
      <c r="E25" s="206" t="s">
        <v>379</v>
      </c>
      <c r="F25" s="206" t="s">
        <v>421</v>
      </c>
      <c r="J25" s="271" t="s">
        <v>119</v>
      </c>
    </row>
    <row r="26" spans="1:10" x14ac:dyDescent="0.25">
      <c r="A26" s="205" t="s">
        <v>422</v>
      </c>
      <c r="B26" s="206" t="s">
        <v>397</v>
      </c>
      <c r="C26" s="207">
        <v>43223</v>
      </c>
      <c r="D26" s="206"/>
      <c r="E26" s="206" t="s">
        <v>379</v>
      </c>
      <c r="F26" s="206" t="s">
        <v>423</v>
      </c>
      <c r="J26" s="271" t="s">
        <v>120</v>
      </c>
    </row>
    <row r="27" spans="1:10" x14ac:dyDescent="0.25">
      <c r="A27" s="205" t="s">
        <v>424</v>
      </c>
      <c r="B27" s="206" t="s">
        <v>373</v>
      </c>
      <c r="C27" s="207">
        <v>43191</v>
      </c>
      <c r="D27" s="206" t="s">
        <v>364</v>
      </c>
      <c r="E27" s="206" t="s">
        <v>425</v>
      </c>
      <c r="F27" s="206" t="s">
        <v>426</v>
      </c>
      <c r="J27" s="271" t="s">
        <v>121</v>
      </c>
    </row>
    <row r="28" spans="1:10" x14ac:dyDescent="0.25">
      <c r="A28" s="205" t="s">
        <v>427</v>
      </c>
      <c r="B28" s="206" t="s">
        <v>428</v>
      </c>
      <c r="C28" s="207">
        <v>43154</v>
      </c>
      <c r="D28" s="206" t="s">
        <v>364</v>
      </c>
      <c r="E28" s="206" t="s">
        <v>425</v>
      </c>
      <c r="F28" s="206" t="s">
        <v>429</v>
      </c>
      <c r="J28" s="271" t="s">
        <v>122</v>
      </c>
    </row>
    <row r="29" spans="1:10" x14ac:dyDescent="0.25">
      <c r="A29" s="205" t="s">
        <v>430</v>
      </c>
      <c r="B29" s="206" t="s">
        <v>428</v>
      </c>
      <c r="C29" s="207">
        <v>43140</v>
      </c>
      <c r="D29" s="206" t="s">
        <v>364</v>
      </c>
      <c r="E29" s="206" t="s">
        <v>425</v>
      </c>
      <c r="F29" s="206" t="s">
        <v>431</v>
      </c>
      <c r="J29" s="271" t="s">
        <v>382</v>
      </c>
    </row>
    <row r="30" spans="1:10" x14ac:dyDescent="0.25">
      <c r="A30" s="205" t="s">
        <v>432</v>
      </c>
      <c r="B30" s="206" t="s">
        <v>428</v>
      </c>
      <c r="C30" s="207">
        <v>43133</v>
      </c>
      <c r="D30" s="206" t="s">
        <v>364</v>
      </c>
      <c r="E30" s="206" t="s">
        <v>425</v>
      </c>
      <c r="F30" s="206"/>
      <c r="J30" s="271" t="s">
        <v>433</v>
      </c>
    </row>
    <row r="31" spans="1:10" x14ac:dyDescent="0.25">
      <c r="A31" s="206" t="s">
        <v>434</v>
      </c>
      <c r="B31" s="206" t="s">
        <v>428</v>
      </c>
      <c r="C31" s="207">
        <v>43131</v>
      </c>
      <c r="D31" s="206" t="s">
        <v>364</v>
      </c>
      <c r="E31" s="206" t="s">
        <v>425</v>
      </c>
      <c r="F31" s="206"/>
      <c r="J31" s="271" t="s">
        <v>378</v>
      </c>
    </row>
    <row r="32" spans="1:10" x14ac:dyDescent="0.25">
      <c r="A32" s="205" t="s">
        <v>435</v>
      </c>
      <c r="B32" s="206" t="s">
        <v>428</v>
      </c>
      <c r="C32" s="207">
        <v>43111</v>
      </c>
      <c r="D32" s="206" t="s">
        <v>364</v>
      </c>
      <c r="E32" s="206" t="s">
        <v>425</v>
      </c>
      <c r="F32" s="206"/>
      <c r="J32" s="271" t="s">
        <v>364</v>
      </c>
    </row>
    <row r="33" spans="1:10" ht="45.75" thickBot="1" x14ac:dyDescent="0.3">
      <c r="A33" s="205"/>
      <c r="B33" s="206"/>
      <c r="C33" s="207"/>
      <c r="D33" s="206"/>
      <c r="E33" s="206"/>
      <c r="F33" s="206"/>
      <c r="J33" s="272" t="s">
        <v>483</v>
      </c>
    </row>
    <row r="34" spans="1:10" x14ac:dyDescent="0.25">
      <c r="A34" s="206"/>
      <c r="B34" s="206"/>
      <c r="C34" s="206"/>
      <c r="D34" s="206"/>
      <c r="E34" s="206"/>
      <c r="F34" s="206"/>
    </row>
    <row r="35" spans="1:10" x14ac:dyDescent="0.25">
      <c r="A35" s="206"/>
      <c r="B35" s="206"/>
      <c r="C35" s="206"/>
      <c r="D35" s="206"/>
      <c r="E35" s="206"/>
      <c r="F35" s="206"/>
    </row>
    <row r="36" spans="1:10" x14ac:dyDescent="0.25">
      <c r="A36" s="206"/>
      <c r="B36" s="206"/>
      <c r="C36" s="206"/>
      <c r="D36" s="206"/>
      <c r="E36" s="206"/>
      <c r="F36" s="206"/>
    </row>
    <row r="37" spans="1:10" x14ac:dyDescent="0.25">
      <c r="A37" s="206"/>
      <c r="B37" s="206"/>
      <c r="C37" s="206"/>
      <c r="D37" s="206"/>
      <c r="E37" s="206"/>
      <c r="F37" s="206"/>
    </row>
    <row r="38" spans="1:10" x14ac:dyDescent="0.25">
      <c r="A38" s="206"/>
      <c r="B38" s="206"/>
      <c r="C38" s="206"/>
      <c r="D38" s="206"/>
      <c r="E38" s="206"/>
      <c r="F38" s="206"/>
    </row>
    <row r="39" spans="1:10" x14ac:dyDescent="0.25">
      <c r="A39" s="206"/>
      <c r="B39" s="206"/>
      <c r="C39" s="206"/>
      <c r="D39" s="206"/>
      <c r="E39" s="206"/>
      <c r="F39" s="206"/>
    </row>
    <row r="40" spans="1:10" x14ac:dyDescent="0.25">
      <c r="A40" s="206"/>
      <c r="B40" s="206"/>
      <c r="C40" s="206"/>
      <c r="D40" s="206"/>
      <c r="E40" s="206"/>
      <c r="F40" s="206"/>
    </row>
    <row r="41" spans="1:10" x14ac:dyDescent="0.25">
      <c r="A41" s="206"/>
      <c r="B41" s="206"/>
      <c r="C41" s="206"/>
      <c r="D41" s="206"/>
      <c r="E41" s="206"/>
      <c r="F41" s="206"/>
    </row>
    <row r="42" spans="1:10" x14ac:dyDescent="0.25">
      <c r="A42" s="206"/>
      <c r="B42" s="206"/>
      <c r="C42" s="206"/>
      <c r="D42" s="206"/>
      <c r="E42" s="206"/>
      <c r="F42" s="206"/>
    </row>
    <row r="43" spans="1:10" x14ac:dyDescent="0.25">
      <c r="A43" s="206"/>
      <c r="B43" s="206"/>
      <c r="C43" s="206"/>
      <c r="D43" s="206"/>
      <c r="E43" s="206"/>
      <c r="F43" s="206"/>
    </row>
    <row r="44" spans="1:10" x14ac:dyDescent="0.25">
      <c r="A44" s="206"/>
      <c r="B44" s="206"/>
      <c r="C44" s="206"/>
      <c r="D44" s="206"/>
      <c r="E44" s="206"/>
      <c r="F44" s="206"/>
    </row>
    <row r="45" spans="1:10" x14ac:dyDescent="0.25">
      <c r="A45" s="206"/>
      <c r="B45" s="206"/>
      <c r="C45" s="206"/>
      <c r="D45" s="206"/>
      <c r="E45" s="206"/>
      <c r="F45" s="206"/>
    </row>
    <row r="46" spans="1:10" x14ac:dyDescent="0.25">
      <c r="A46" s="206"/>
      <c r="B46" s="206"/>
      <c r="C46" s="206"/>
      <c r="D46" s="206"/>
      <c r="E46" s="206"/>
      <c r="F46" s="206"/>
    </row>
    <row r="47" spans="1:10" x14ac:dyDescent="0.25">
      <c r="A47" s="206"/>
      <c r="B47" s="206"/>
      <c r="C47" s="206"/>
      <c r="D47" s="206"/>
      <c r="E47" s="206"/>
      <c r="F47" s="206"/>
    </row>
    <row r="48" spans="1:10" x14ac:dyDescent="0.25">
      <c r="A48" s="206"/>
      <c r="B48" s="206"/>
      <c r="C48" s="206"/>
      <c r="D48" s="206"/>
      <c r="E48" s="206"/>
      <c r="F48" s="206"/>
    </row>
    <row r="49" spans="1:6" x14ac:dyDescent="0.25">
      <c r="A49" s="206"/>
      <c r="B49" s="206"/>
      <c r="C49" s="206"/>
      <c r="D49" s="206"/>
      <c r="E49" s="206"/>
      <c r="F49" s="206"/>
    </row>
    <row r="50" spans="1:6" x14ac:dyDescent="0.25">
      <c r="A50" s="206"/>
      <c r="B50" s="206"/>
      <c r="C50" s="206"/>
      <c r="D50" s="206"/>
      <c r="E50" s="206"/>
      <c r="F50" s="206"/>
    </row>
    <row r="51" spans="1:6" x14ac:dyDescent="0.25">
      <c r="A51" s="206"/>
      <c r="B51" s="206"/>
      <c r="C51" s="206"/>
      <c r="D51" s="206"/>
      <c r="E51" s="206"/>
      <c r="F51" s="206"/>
    </row>
    <row r="52" spans="1:6" x14ac:dyDescent="0.25">
      <c r="A52" s="206"/>
      <c r="B52" s="206"/>
      <c r="C52" s="206"/>
      <c r="D52" s="206"/>
      <c r="E52" s="206"/>
      <c r="F52" s="206"/>
    </row>
    <row r="53" spans="1:6" x14ac:dyDescent="0.25">
      <c r="A53" s="206"/>
      <c r="B53" s="206"/>
      <c r="C53" s="206"/>
      <c r="D53" s="206"/>
      <c r="E53" s="206"/>
      <c r="F53" s="206"/>
    </row>
    <row r="54" spans="1:6" x14ac:dyDescent="0.25">
      <c r="A54" s="206"/>
      <c r="B54" s="206"/>
      <c r="C54" s="206"/>
      <c r="D54" s="206"/>
      <c r="E54" s="206"/>
      <c r="F54" s="206"/>
    </row>
    <row r="55" spans="1:6" x14ac:dyDescent="0.25">
      <c r="A55" s="206"/>
      <c r="B55" s="206"/>
      <c r="C55" s="206"/>
      <c r="D55" s="206"/>
      <c r="E55" s="206"/>
      <c r="F55" s="206"/>
    </row>
    <row r="56" spans="1:6" x14ac:dyDescent="0.25">
      <c r="A56" s="206"/>
      <c r="B56" s="206"/>
      <c r="C56" s="206"/>
      <c r="D56" s="206"/>
      <c r="E56" s="206"/>
      <c r="F56" s="206"/>
    </row>
    <row r="57" spans="1:6" x14ac:dyDescent="0.25">
      <c r="A57" s="206"/>
      <c r="B57" s="206"/>
      <c r="C57" s="206"/>
      <c r="D57" s="206"/>
      <c r="E57" s="206"/>
      <c r="F57" s="206"/>
    </row>
    <row r="58" spans="1:6" x14ac:dyDescent="0.25">
      <c r="A58" s="206"/>
      <c r="B58" s="206"/>
      <c r="C58" s="206"/>
      <c r="D58" s="206"/>
      <c r="E58" s="206"/>
      <c r="F58" s="206"/>
    </row>
    <row r="59" spans="1:6" x14ac:dyDescent="0.25">
      <c r="A59" s="206"/>
      <c r="B59" s="206"/>
      <c r="C59" s="206"/>
      <c r="D59" s="206"/>
      <c r="E59" s="206"/>
      <c r="F59" s="206"/>
    </row>
    <row r="60" spans="1:6" x14ac:dyDescent="0.25">
      <c r="A60" s="203"/>
      <c r="B60" s="203"/>
      <c r="C60" s="203"/>
      <c r="D60" s="203"/>
      <c r="E60" s="203"/>
      <c r="F60" s="203"/>
    </row>
  </sheetData>
  <sheetProtection algorithmName="SHA-512" hashValue="sC8m6slVXzD2cG3cF3FHpMdAua8jNykN9vuLl6CrEfzxOIjDcxqkr1aGFR9TxTjBPQryiVkbCUk2gO8LDxs3CA==" saltValue="zJXoRJknKumD3hdjofVldg==" spinCount="100000" sheet="1" selectLockedCells="1"/>
  <autoFilter ref="A3:F3" xr:uid="{00000000-0001-0000-0000-000000000000}"/>
  <phoneticPr fontId="9" type="noConversion"/>
  <dataValidations count="2">
    <dataValidation type="list" allowBlank="1" showInputMessage="1" showErrorMessage="1" sqref="D34:D59" xr:uid="{00000000-0002-0000-0000-000000000000}">
      <formula1>$J$18:$J$32</formula1>
    </dataValidation>
    <dataValidation type="list" allowBlank="1" showInputMessage="1" showErrorMessage="1" sqref="D4:D33" xr:uid="{93C84101-D6EF-4EFC-B63F-6AD306B0C78A}">
      <formula1>$J$18:$J$35</formula1>
    </dataValidation>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3">
    <pageSetUpPr fitToPage="1"/>
  </sheetPr>
  <dimension ref="A1:V67"/>
  <sheetViews>
    <sheetView showGridLines="0" zoomScale="85" zoomScaleNormal="85" workbookViewId="0">
      <selection activeCell="H4" sqref="H4"/>
    </sheetView>
  </sheetViews>
  <sheetFormatPr defaultColWidth="9.28515625" defaultRowHeight="15" outlineLevelCol="1" x14ac:dyDescent="0.25"/>
  <cols>
    <col min="1" max="1" width="3" style="32" customWidth="1"/>
    <col min="2" max="2" width="14.42578125" style="32" bestFit="1" customWidth="1"/>
    <col min="3" max="3" width="23" style="32" bestFit="1" customWidth="1"/>
    <col min="4" max="4" width="2.7109375" style="32" customWidth="1"/>
    <col min="5" max="6" width="2.7109375" style="94" customWidth="1"/>
    <col min="7" max="7" width="20.28515625" style="32" customWidth="1" outlineLevel="1"/>
    <col min="8" max="12" width="11" style="32" customWidth="1" outlineLevel="1"/>
    <col min="13" max="14" width="9.28515625" style="32"/>
    <col min="15" max="15" width="2.7109375" style="32" customWidth="1"/>
    <col min="16" max="16" width="9.28515625" style="32" customWidth="1" outlineLevel="1"/>
    <col min="17" max="17" width="15.28515625" style="32" customWidth="1" outlineLevel="1"/>
    <col min="18" max="18" width="16.42578125" style="32" customWidth="1" outlineLevel="1"/>
    <col min="19" max="19" width="13.5703125" style="32" customWidth="1" outlineLevel="1"/>
    <col min="20" max="21" width="9.28515625" style="32"/>
    <col min="22" max="22" width="2.7109375" style="32" customWidth="1"/>
    <col min="23" max="16384" width="9.28515625" style="32"/>
  </cols>
  <sheetData>
    <row r="1" spans="1:22" s="6" customFormat="1" ht="22.9" customHeight="1" x14ac:dyDescent="0.35">
      <c r="A1" s="144" t="s">
        <v>66</v>
      </c>
      <c r="C1" s="153"/>
      <c r="D1" s="153"/>
      <c r="E1" s="153"/>
      <c r="F1" s="153"/>
      <c r="G1" s="153"/>
      <c r="H1" s="153"/>
      <c r="I1" s="153"/>
      <c r="J1" s="153"/>
    </row>
    <row r="2" spans="1:22" s="1" customFormat="1" ht="13.5" customHeight="1" x14ac:dyDescent="0.2">
      <c r="A2" s="154" t="s">
        <v>114</v>
      </c>
      <c r="J2" s="155"/>
    </row>
    <row r="3" spans="1:22" s="1" customFormat="1" ht="13.5" customHeight="1" x14ac:dyDescent="0.2">
      <c r="A3" s="156" t="s">
        <v>72</v>
      </c>
      <c r="B3" s="156"/>
      <c r="C3" s="157" t="str">
        <f>CONCATENATE("CROW400 ",Revisiebeheer!B14," ",Revisiebeheer!A14)</f>
        <v>CROW400 Definitief 2.0 - 2024</v>
      </c>
      <c r="J3" s="155"/>
    </row>
    <row r="4" spans="1:22" s="1" customFormat="1" ht="13.5" customHeight="1" x14ac:dyDescent="0.2">
      <c r="A4" s="156" t="s">
        <v>74</v>
      </c>
      <c r="B4" s="156"/>
      <c r="C4" s="158">
        <f>Revisiebeheer!C14</f>
        <v>45328</v>
      </c>
      <c r="J4" s="155"/>
    </row>
    <row r="5" spans="1:22" s="1" customFormat="1" ht="13.5" customHeight="1" x14ac:dyDescent="0.2">
      <c r="A5" s="156" t="s">
        <v>76</v>
      </c>
      <c r="B5" s="156"/>
      <c r="C5" s="159" t="str">
        <f>Revisiebeheer!F1</f>
        <v>Alliander SRM Sourcing - Contractmanagement Aannemerij</v>
      </c>
      <c r="J5" s="155"/>
    </row>
    <row r="6" spans="1:22" customFormat="1" ht="13.5" customHeight="1" x14ac:dyDescent="0.25">
      <c r="A6" s="136"/>
      <c r="B6" s="135"/>
    </row>
    <row r="7" spans="1:22" ht="24.75" customHeight="1" x14ac:dyDescent="0.25">
      <c r="A7" s="517" t="s">
        <v>436</v>
      </c>
      <c r="B7" s="517"/>
      <c r="C7" s="517"/>
      <c r="D7" s="517"/>
      <c r="E7" s="36"/>
      <c r="F7" s="30"/>
      <c r="G7" s="508" t="s">
        <v>437</v>
      </c>
      <c r="H7" s="509"/>
      <c r="I7" s="509"/>
      <c r="J7" s="509"/>
      <c r="K7" s="509"/>
      <c r="L7" s="509"/>
      <c r="M7" s="509"/>
      <c r="N7" s="509"/>
      <c r="O7" s="509"/>
      <c r="P7" s="509"/>
      <c r="Q7" s="509"/>
      <c r="R7" s="509"/>
      <c r="S7" s="509"/>
      <c r="T7" s="509"/>
      <c r="U7" s="510"/>
      <c r="V7" s="31"/>
    </row>
    <row r="8" spans="1:22" x14ac:dyDescent="0.25">
      <c r="A8" s="518"/>
      <c r="B8" s="518"/>
      <c r="C8" s="518"/>
      <c r="D8" s="518"/>
      <c r="E8" s="36"/>
      <c r="F8" s="35"/>
      <c r="V8" s="36"/>
    </row>
    <row r="9" spans="1:22" ht="28.5" customHeight="1" x14ac:dyDescent="0.25">
      <c r="A9" s="518"/>
      <c r="B9" s="518"/>
      <c r="C9" s="518"/>
      <c r="D9" s="518"/>
      <c r="E9" s="36"/>
      <c r="F9" s="33"/>
      <c r="G9" s="37" t="s">
        <v>438</v>
      </c>
      <c r="H9" s="38"/>
      <c r="I9" s="38"/>
      <c r="J9" s="38"/>
      <c r="K9" s="38"/>
      <c r="L9" s="39"/>
      <c r="M9" s="511" t="s">
        <v>438</v>
      </c>
      <c r="N9" s="512"/>
      <c r="P9" s="40" t="s">
        <v>439</v>
      </c>
      <c r="Q9" s="41"/>
      <c r="R9" s="41"/>
      <c r="S9" s="42"/>
      <c r="T9" s="511" t="s">
        <v>440</v>
      </c>
      <c r="U9" s="512"/>
      <c r="V9" s="36"/>
    </row>
    <row r="10" spans="1:22" ht="15.75" customHeight="1" thickBot="1" x14ac:dyDescent="0.3">
      <c r="A10" s="519"/>
      <c r="B10" s="519"/>
      <c r="C10" s="519"/>
      <c r="D10" s="519"/>
      <c r="E10" s="34"/>
      <c r="F10" s="35"/>
      <c r="G10" s="43" t="s">
        <v>42</v>
      </c>
      <c r="H10" s="140" t="s">
        <v>441</v>
      </c>
      <c r="I10" s="140" t="s">
        <v>442</v>
      </c>
      <c r="J10" s="140" t="s">
        <v>443</v>
      </c>
      <c r="K10" s="140" t="s">
        <v>444</v>
      </c>
      <c r="L10" s="141" t="s">
        <v>445</v>
      </c>
      <c r="M10" s="513" t="s">
        <v>446</v>
      </c>
      <c r="N10" s="514"/>
      <c r="P10" s="44" t="s">
        <v>96</v>
      </c>
      <c r="Q10" s="45" t="s">
        <v>97</v>
      </c>
      <c r="R10" s="45" t="s">
        <v>42</v>
      </c>
      <c r="S10" s="46" t="s">
        <v>447</v>
      </c>
      <c r="T10" s="513" t="s">
        <v>448</v>
      </c>
      <c r="U10" s="514"/>
      <c r="V10" s="36"/>
    </row>
    <row r="11" spans="1:22" ht="24" thickBot="1" x14ac:dyDescent="0.4">
      <c r="A11" s="47"/>
      <c r="B11" s="143" t="s">
        <v>449</v>
      </c>
      <c r="C11" s="48"/>
      <c r="D11" s="49"/>
      <c r="E11" s="34"/>
      <c r="F11" s="35"/>
      <c r="G11" s="50" t="s">
        <v>450</v>
      </c>
      <c r="H11" s="51">
        <v>0.125</v>
      </c>
      <c r="I11" s="51">
        <v>0.27</v>
      </c>
      <c r="J11" s="51">
        <v>0.3</v>
      </c>
      <c r="K11" s="51">
        <v>0.18</v>
      </c>
      <c r="L11" s="52">
        <v>0.125</v>
      </c>
      <c r="M11" s="515"/>
      <c r="N11" s="516"/>
      <c r="P11" s="129" t="s">
        <v>98</v>
      </c>
      <c r="Q11" s="53">
        <f>'Invul- en verrekenblad'!B24</f>
        <v>0</v>
      </c>
      <c r="R11" s="53">
        <f>'Invul- en verrekenblad'!C24</f>
        <v>0</v>
      </c>
      <c r="S11" s="52">
        <f>IFERROR(Q11/$Q$16,0)</f>
        <v>0</v>
      </c>
      <c r="T11" s="515"/>
      <c r="U11" s="516"/>
      <c r="V11" s="36"/>
    </row>
    <row r="12" spans="1:22" x14ac:dyDescent="0.25">
      <c r="A12" s="54"/>
      <c r="B12" s="27"/>
      <c r="C12" s="27"/>
      <c r="D12" s="55"/>
      <c r="E12" s="34"/>
      <c r="F12" s="35"/>
      <c r="G12" s="35" t="s">
        <v>451</v>
      </c>
      <c r="H12" s="56">
        <v>0.14285714285714285</v>
      </c>
      <c r="I12" s="56">
        <v>0.30857142857142861</v>
      </c>
      <c r="J12" s="56">
        <v>0.34285714285714286</v>
      </c>
      <c r="K12" s="56">
        <v>0.20571428571428571</v>
      </c>
      <c r="L12" s="57">
        <v>0</v>
      </c>
      <c r="M12" s="56"/>
      <c r="P12" s="130" t="s">
        <v>99</v>
      </c>
      <c r="Q12" s="137">
        <f>'Invul- en verrekenblad'!B25</f>
        <v>0</v>
      </c>
      <c r="R12" s="137">
        <f>'Invul- en verrekenblad'!C25</f>
        <v>0</v>
      </c>
      <c r="S12" s="57">
        <f>IFERROR(Q12/$Q$16,0)</f>
        <v>0</v>
      </c>
      <c r="V12" s="36"/>
    </row>
    <row r="13" spans="1:22" x14ac:dyDescent="0.25">
      <c r="A13" s="54"/>
      <c r="B13" s="505" t="s">
        <v>452</v>
      </c>
      <c r="C13" s="505"/>
      <c r="D13" s="55"/>
      <c r="E13" s="34"/>
      <c r="F13" s="35"/>
      <c r="G13" s="35" t="s">
        <v>453</v>
      </c>
      <c r="H13" s="56">
        <v>0.1524390243902439</v>
      </c>
      <c r="I13" s="56">
        <v>0.32926829268292684</v>
      </c>
      <c r="J13" s="56">
        <v>0.3658536585365853</v>
      </c>
      <c r="K13" s="56">
        <v>0</v>
      </c>
      <c r="L13" s="57">
        <v>0.1524390243902439</v>
      </c>
      <c r="M13" s="56"/>
      <c r="P13" s="130" t="s">
        <v>100</v>
      </c>
      <c r="Q13" s="137">
        <f>'Invul- en verrekenblad'!B26</f>
        <v>0</v>
      </c>
      <c r="R13" s="137">
        <f>'Invul- en verrekenblad'!C26</f>
        <v>0</v>
      </c>
      <c r="S13" s="57">
        <f>IFERROR(Q13/$Q$16,0)</f>
        <v>0</v>
      </c>
      <c r="V13" s="36"/>
    </row>
    <row r="14" spans="1:22" x14ac:dyDescent="0.25">
      <c r="A14" s="54"/>
      <c r="B14" s="506" t="s">
        <v>454</v>
      </c>
      <c r="C14" s="507"/>
      <c r="D14" s="55"/>
      <c r="E14" s="34"/>
      <c r="F14" s="35"/>
      <c r="G14" s="35" t="s">
        <v>455</v>
      </c>
      <c r="H14" s="56">
        <v>0.17857142857142858</v>
      </c>
      <c r="I14" s="56">
        <v>0.38571428571428579</v>
      </c>
      <c r="J14" s="56">
        <v>0</v>
      </c>
      <c r="K14" s="56">
        <v>0.25714285714285717</v>
      </c>
      <c r="L14" s="57">
        <v>0.17857142857142858</v>
      </c>
      <c r="M14" s="56"/>
      <c r="P14" s="130" t="s">
        <v>101</v>
      </c>
      <c r="Q14" s="137">
        <f>'Invul- en verrekenblad'!B27</f>
        <v>0</v>
      </c>
      <c r="R14" s="137">
        <f>'Invul- en verrekenblad'!C27</f>
        <v>0</v>
      </c>
      <c r="S14" s="57">
        <f>IFERROR(Q14/$Q$16,0)</f>
        <v>0</v>
      </c>
      <c r="V14" s="36"/>
    </row>
    <row r="15" spans="1:22" x14ac:dyDescent="0.25">
      <c r="A15" s="54"/>
      <c r="B15" s="59" t="s">
        <v>456</v>
      </c>
      <c r="C15" s="59" t="s">
        <v>457</v>
      </c>
      <c r="D15" s="55"/>
      <c r="E15" s="34"/>
      <c r="F15" s="35"/>
      <c r="G15" s="35" t="s">
        <v>458</v>
      </c>
      <c r="H15" s="56">
        <v>0.17123287671232876</v>
      </c>
      <c r="I15" s="56">
        <v>0</v>
      </c>
      <c r="J15" s="56">
        <v>0.41095890410958902</v>
      </c>
      <c r="K15" s="56">
        <v>0.24657534246575341</v>
      </c>
      <c r="L15" s="57">
        <v>0.17123287671232876</v>
      </c>
      <c r="M15" s="56"/>
      <c r="P15" s="131" t="s">
        <v>102</v>
      </c>
      <c r="Q15" s="60">
        <f>'Invul- en verrekenblad'!B28</f>
        <v>0</v>
      </c>
      <c r="R15" s="60">
        <f>'Invul- en verrekenblad'!C28</f>
        <v>0</v>
      </c>
      <c r="S15" s="61">
        <f>IFERROR(Q15/$Q$16,0)</f>
        <v>0</v>
      </c>
      <c r="V15" s="36"/>
    </row>
    <row r="16" spans="1:22" ht="15.75" x14ac:dyDescent="0.25">
      <c r="A16" s="54"/>
      <c r="B16" s="58" t="s">
        <v>108</v>
      </c>
      <c r="C16" s="62">
        <f>SUM(S19,S24,S29,S34,S39)</f>
        <v>0</v>
      </c>
      <c r="D16" s="55"/>
      <c r="E16" s="34"/>
      <c r="F16" s="35"/>
      <c r="G16" s="35" t="s">
        <v>459</v>
      </c>
      <c r="H16" s="56">
        <v>0</v>
      </c>
      <c r="I16" s="56">
        <v>0.30857142857142861</v>
      </c>
      <c r="J16" s="56">
        <v>0.34285714285714286</v>
      </c>
      <c r="K16" s="56">
        <v>0.20571428571428571</v>
      </c>
      <c r="L16" s="57">
        <v>0.14285714285714285</v>
      </c>
      <c r="M16" s="56"/>
      <c r="P16" s="65" t="s">
        <v>460</v>
      </c>
      <c r="Q16" s="66">
        <f>SUM(Q11:Q15)</f>
        <v>0</v>
      </c>
      <c r="R16" s="63"/>
      <c r="S16" s="64">
        <f>SUM(S11:S15)</f>
        <v>0</v>
      </c>
      <c r="V16" s="36"/>
    </row>
    <row r="17" spans="1:22" ht="15.75" x14ac:dyDescent="0.25">
      <c r="A17" s="54"/>
      <c r="B17" s="58" t="s">
        <v>109</v>
      </c>
      <c r="C17" s="62">
        <f>SUM(S20,S25,S30,S35,S40)</f>
        <v>0</v>
      </c>
      <c r="D17" s="55"/>
      <c r="E17" s="34"/>
      <c r="F17" s="35"/>
      <c r="G17" s="35" t="s">
        <v>461</v>
      </c>
      <c r="H17" s="56">
        <v>0.17985611510791366</v>
      </c>
      <c r="I17" s="56">
        <v>0.3884892086330935</v>
      </c>
      <c r="J17" s="56">
        <v>0.43165467625899273</v>
      </c>
      <c r="K17" s="56">
        <v>0</v>
      </c>
      <c r="L17" s="57">
        <v>0</v>
      </c>
      <c r="M17" s="56"/>
      <c r="S17" s="67"/>
      <c r="V17" s="36"/>
    </row>
    <row r="18" spans="1:22" ht="15.75" x14ac:dyDescent="0.25">
      <c r="A18" s="54"/>
      <c r="B18" s="58" t="s">
        <v>110</v>
      </c>
      <c r="C18" s="62">
        <f>SUM(S21,S26,S31,S36,S41)</f>
        <v>0</v>
      </c>
      <c r="D18" s="55"/>
      <c r="E18" s="34"/>
      <c r="F18" s="35"/>
      <c r="G18" s="35" t="s">
        <v>462</v>
      </c>
      <c r="H18" s="56">
        <v>0.24038461538461536</v>
      </c>
      <c r="I18" s="56">
        <v>0.51923076923076927</v>
      </c>
      <c r="J18" s="56">
        <v>0</v>
      </c>
      <c r="K18" s="56">
        <v>0</v>
      </c>
      <c r="L18" s="57">
        <v>0.24038461538461536</v>
      </c>
      <c r="M18" s="56"/>
      <c r="P18" s="44" t="s">
        <v>96</v>
      </c>
      <c r="Q18" s="68"/>
      <c r="R18" s="68" t="s">
        <v>463</v>
      </c>
      <c r="S18" s="46" t="s">
        <v>464</v>
      </c>
      <c r="V18" s="36"/>
    </row>
    <row r="19" spans="1:22" ht="15.75" x14ac:dyDescent="0.25">
      <c r="A19" s="54"/>
      <c r="B19" s="58" t="s">
        <v>111</v>
      </c>
      <c r="C19" s="62">
        <f>SUM(S22,S27,S32,S37,S42)</f>
        <v>0</v>
      </c>
      <c r="D19" s="55"/>
      <c r="E19" s="34"/>
      <c r="F19" s="35"/>
      <c r="G19" s="35" t="s">
        <v>465</v>
      </c>
      <c r="H19" s="56">
        <v>0.29069767441860467</v>
      </c>
      <c r="I19" s="56">
        <v>0</v>
      </c>
      <c r="J19" s="56">
        <v>0</v>
      </c>
      <c r="K19" s="56">
        <v>0.41860465116279066</v>
      </c>
      <c r="L19" s="57">
        <v>0.29069767441860467</v>
      </c>
      <c r="M19" s="56"/>
      <c r="P19" s="69" t="s">
        <v>98</v>
      </c>
      <c r="Q19" s="70" t="s">
        <v>108</v>
      </c>
      <c r="R19" s="56">
        <f>IF($R$11=0,0,VLOOKUP($R$11,G:L,2,FALSE))</f>
        <v>0</v>
      </c>
      <c r="S19" s="71">
        <f>$S$11*R19</f>
        <v>0</v>
      </c>
      <c r="V19" s="36"/>
    </row>
    <row r="20" spans="1:22" ht="15.75" x14ac:dyDescent="0.25">
      <c r="A20" s="72"/>
      <c r="B20" s="58" t="s">
        <v>112</v>
      </c>
      <c r="C20" s="62">
        <f>SUM(S23,S28,S33,S38,S43)</f>
        <v>0</v>
      </c>
      <c r="D20" s="55"/>
      <c r="E20" s="34"/>
      <c r="F20" s="35"/>
      <c r="G20" s="35" t="s">
        <v>466</v>
      </c>
      <c r="H20" s="56">
        <v>0</v>
      </c>
      <c r="I20" s="56">
        <v>0</v>
      </c>
      <c r="J20" s="56">
        <v>0.49586776859504134</v>
      </c>
      <c r="K20" s="56">
        <v>0.2975206611570248</v>
      </c>
      <c r="L20" s="57">
        <v>0.20661157024793389</v>
      </c>
      <c r="M20" s="56"/>
      <c r="P20" s="69"/>
      <c r="Q20" s="70" t="s">
        <v>109</v>
      </c>
      <c r="R20" s="56">
        <f>IF($R$11=0,0,VLOOKUP($R$11,G:L,3,FALSE))</f>
        <v>0</v>
      </c>
      <c r="S20" s="71">
        <f>$S$11*R20</f>
        <v>0</v>
      </c>
      <c r="V20" s="36"/>
    </row>
    <row r="21" spans="1:22" ht="18.75" x14ac:dyDescent="0.3">
      <c r="A21" s="72"/>
      <c r="B21" s="73" t="s">
        <v>460</v>
      </c>
      <c r="C21" s="142">
        <f>SUM(C16:C20)</f>
        <v>0</v>
      </c>
      <c r="D21" s="55"/>
      <c r="E21" s="34"/>
      <c r="F21" s="35"/>
      <c r="G21" s="35" t="s">
        <v>467</v>
      </c>
      <c r="H21" s="56">
        <v>0.21739130434782611</v>
      </c>
      <c r="I21" s="56">
        <v>0.46956521739130441</v>
      </c>
      <c r="J21" s="56">
        <v>0</v>
      </c>
      <c r="K21" s="56">
        <v>0.31304347826086959</v>
      </c>
      <c r="L21" s="57">
        <v>0</v>
      </c>
      <c r="M21" s="56"/>
      <c r="P21" s="69"/>
      <c r="Q21" s="70" t="s">
        <v>110</v>
      </c>
      <c r="R21" s="56">
        <f>IF($R$11=0,0,VLOOKUP($R$11,G:L,4,FALSE))</f>
        <v>0</v>
      </c>
      <c r="S21" s="71">
        <f>$S$11*R21</f>
        <v>0</v>
      </c>
      <c r="V21" s="36"/>
    </row>
    <row r="22" spans="1:22" x14ac:dyDescent="0.25">
      <c r="A22" s="72"/>
      <c r="D22" s="55"/>
      <c r="E22" s="34"/>
      <c r="F22" s="35"/>
      <c r="G22" s="35" t="s">
        <v>468</v>
      </c>
      <c r="H22" s="56">
        <v>0.22727272727272727</v>
      </c>
      <c r="I22" s="56">
        <v>0</v>
      </c>
      <c r="J22" s="56">
        <v>0.54545454545454541</v>
      </c>
      <c r="K22" s="56">
        <v>0</v>
      </c>
      <c r="L22" s="57">
        <v>0.22727272727272727</v>
      </c>
      <c r="M22" s="56"/>
      <c r="P22" s="69"/>
      <c r="Q22" s="70" t="s">
        <v>111</v>
      </c>
      <c r="R22" s="56">
        <f>IF($R$11=0,0,VLOOKUP($R$11,G:L,5,FALSE))</f>
        <v>0</v>
      </c>
      <c r="S22" s="71">
        <f>$S$11*R22</f>
        <v>0</v>
      </c>
      <c r="V22" s="36"/>
    </row>
    <row r="23" spans="1:22" x14ac:dyDescent="0.25">
      <c r="A23" s="54"/>
      <c r="D23" s="55"/>
      <c r="E23" s="34"/>
      <c r="F23" s="35"/>
      <c r="G23" s="35" t="s">
        <v>469</v>
      </c>
      <c r="H23" s="56">
        <v>0</v>
      </c>
      <c r="I23" s="56">
        <v>0.46956521739130441</v>
      </c>
      <c r="J23" s="56">
        <v>0</v>
      </c>
      <c r="K23" s="56">
        <v>0.31304347826086959</v>
      </c>
      <c r="L23" s="57">
        <v>0.21739130434782611</v>
      </c>
      <c r="M23" s="56"/>
      <c r="P23" s="69"/>
      <c r="Q23" s="70" t="s">
        <v>112</v>
      </c>
      <c r="R23" s="56">
        <f>IF($R$11=0,0,VLOOKUP($R$11,G:L,6,FALSE))</f>
        <v>0</v>
      </c>
      <c r="S23" s="71">
        <f>$S$11*R23</f>
        <v>0</v>
      </c>
      <c r="V23" s="36"/>
    </row>
    <row r="24" spans="1:22" x14ac:dyDescent="0.25">
      <c r="A24" s="72"/>
      <c r="D24" s="55"/>
      <c r="E24" s="34"/>
      <c r="F24" s="35"/>
      <c r="G24" s="35" t="s">
        <v>470</v>
      </c>
      <c r="H24" s="56">
        <v>0.20661157024793389</v>
      </c>
      <c r="I24" s="56">
        <v>0</v>
      </c>
      <c r="J24" s="56">
        <v>0.49586776859504134</v>
      </c>
      <c r="K24" s="56">
        <v>0.2975206611570248</v>
      </c>
      <c r="L24" s="57">
        <v>0</v>
      </c>
      <c r="M24" s="56"/>
      <c r="P24" s="74" t="s">
        <v>99</v>
      </c>
      <c r="Q24" s="75" t="s">
        <v>108</v>
      </c>
      <c r="R24" s="51">
        <f>IF($R$12=0,0,VLOOKUP($R$12,G:L,2,FALSE))</f>
        <v>0</v>
      </c>
      <c r="S24" s="76">
        <f>$S$12*R24</f>
        <v>0</v>
      </c>
      <c r="V24" s="36"/>
    </row>
    <row r="25" spans="1:22" x14ac:dyDescent="0.25">
      <c r="A25" s="72"/>
      <c r="D25" s="55"/>
      <c r="E25" s="34"/>
      <c r="F25" s="35"/>
      <c r="G25" s="35" t="s">
        <v>471</v>
      </c>
      <c r="H25" s="56">
        <v>0</v>
      </c>
      <c r="I25" s="56">
        <v>0.3884892086330935</v>
      </c>
      <c r="J25" s="56">
        <v>0.43165467625899273</v>
      </c>
      <c r="K25" s="56">
        <v>0</v>
      </c>
      <c r="L25" s="57">
        <v>0.17985611510791366</v>
      </c>
      <c r="M25" s="56"/>
      <c r="P25" s="69"/>
      <c r="Q25" s="70" t="s">
        <v>109</v>
      </c>
      <c r="R25" s="56">
        <f>IF($R$12=0,0,VLOOKUP($R$12,G:L,3,FALSE))</f>
        <v>0</v>
      </c>
      <c r="S25" s="71">
        <f>$S$12*R25</f>
        <v>0</v>
      </c>
      <c r="V25" s="36"/>
    </row>
    <row r="26" spans="1:22" x14ac:dyDescent="0.25">
      <c r="A26" s="54"/>
      <c r="D26" s="55"/>
      <c r="E26" s="34"/>
      <c r="F26" s="35"/>
      <c r="G26" s="35" t="s">
        <v>472</v>
      </c>
      <c r="H26" s="56">
        <v>0</v>
      </c>
      <c r="I26" s="56">
        <v>0.36000000000000004</v>
      </c>
      <c r="J26" s="56">
        <v>0.39999999999999997</v>
      </c>
      <c r="K26" s="56">
        <v>0.24</v>
      </c>
      <c r="L26" s="57">
        <v>0</v>
      </c>
      <c r="M26" s="56"/>
      <c r="P26" s="69"/>
      <c r="Q26" s="70" t="s">
        <v>110</v>
      </c>
      <c r="R26" s="56">
        <f>IF($R$12=0,0,VLOOKUP($R$12,G:L,4,FALSE))</f>
        <v>0</v>
      </c>
      <c r="S26" s="71">
        <f>$S$12*R26</f>
        <v>0</v>
      </c>
      <c r="V26" s="36"/>
    </row>
    <row r="27" spans="1:22" x14ac:dyDescent="0.25">
      <c r="A27" s="72"/>
      <c r="D27" s="55"/>
      <c r="E27" s="34"/>
      <c r="F27" s="35"/>
      <c r="G27" s="35" t="s">
        <v>473</v>
      </c>
      <c r="H27" s="56">
        <v>0.31645569620253161</v>
      </c>
      <c r="I27" s="56">
        <v>0.68354430379746833</v>
      </c>
      <c r="J27" s="56">
        <v>0</v>
      </c>
      <c r="K27" s="56">
        <v>0</v>
      </c>
      <c r="L27" s="57">
        <v>0</v>
      </c>
      <c r="M27" s="56"/>
      <c r="P27" s="69"/>
      <c r="Q27" s="70" t="s">
        <v>111</v>
      </c>
      <c r="R27" s="56">
        <f>IF($R$12=0,0,VLOOKUP($R$12,G:L,5,FALSE))</f>
        <v>0</v>
      </c>
      <c r="S27" s="71">
        <f>$S$12*R27</f>
        <v>0</v>
      </c>
      <c r="V27" s="36"/>
    </row>
    <row r="28" spans="1:22" x14ac:dyDescent="0.25">
      <c r="A28" s="72"/>
      <c r="D28" s="55"/>
      <c r="E28" s="34"/>
      <c r="F28" s="35"/>
      <c r="G28" s="35" t="s">
        <v>474</v>
      </c>
      <c r="H28" s="56">
        <v>0.5</v>
      </c>
      <c r="I28" s="56">
        <v>0</v>
      </c>
      <c r="J28" s="56">
        <v>0</v>
      </c>
      <c r="K28" s="56">
        <v>0</v>
      </c>
      <c r="L28" s="57">
        <v>0.5</v>
      </c>
      <c r="M28" s="56"/>
      <c r="P28" s="77"/>
      <c r="Q28" s="78" t="s">
        <v>112</v>
      </c>
      <c r="R28" s="79">
        <f>IF($R$12=0,0,VLOOKUP($R$12,G:L,6,FALSE))</f>
        <v>0</v>
      </c>
      <c r="S28" s="80">
        <f>$S$12*R28</f>
        <v>0</v>
      </c>
      <c r="V28" s="36"/>
    </row>
    <row r="29" spans="1:22" x14ac:dyDescent="0.25">
      <c r="A29" s="81"/>
      <c r="D29" s="55"/>
      <c r="E29" s="34"/>
      <c r="F29" s="35"/>
      <c r="G29" s="35" t="s">
        <v>475</v>
      </c>
      <c r="H29" s="56">
        <v>0</v>
      </c>
      <c r="I29" s="56">
        <v>0</v>
      </c>
      <c r="J29" s="56">
        <v>0</v>
      </c>
      <c r="K29" s="56">
        <v>0.5901639344262295</v>
      </c>
      <c r="L29" s="57">
        <v>0.4098360655737705</v>
      </c>
      <c r="M29" s="56"/>
      <c r="P29" s="69" t="s">
        <v>100</v>
      </c>
      <c r="Q29" s="70" t="s">
        <v>108</v>
      </c>
      <c r="R29" s="82">
        <f>IF($R$13=0,0,VLOOKUP($R$13,G:L,2,FALSE))</f>
        <v>0</v>
      </c>
      <c r="S29" s="71">
        <f>$S$13*R29</f>
        <v>0</v>
      </c>
      <c r="V29" s="36"/>
    </row>
    <row r="30" spans="1:22" x14ac:dyDescent="0.25">
      <c r="A30" s="54"/>
      <c r="D30" s="55"/>
      <c r="E30" s="34"/>
      <c r="F30" s="35"/>
      <c r="G30" s="35" t="s">
        <v>476</v>
      </c>
      <c r="H30" s="56">
        <v>0.29411764705882354</v>
      </c>
      <c r="I30" s="56">
        <v>0</v>
      </c>
      <c r="J30" s="56">
        <v>0.70588235294117652</v>
      </c>
      <c r="K30" s="56">
        <v>0</v>
      </c>
      <c r="L30" s="57">
        <v>0</v>
      </c>
      <c r="M30" s="56"/>
      <c r="P30" s="69"/>
      <c r="Q30" s="70" t="s">
        <v>109</v>
      </c>
      <c r="R30" s="82">
        <f>IF($R$13=0,0,VLOOKUP($R$13,G:L,3,FALSE))</f>
        <v>0</v>
      </c>
      <c r="S30" s="71">
        <f>$S$13*R30</f>
        <v>0</v>
      </c>
      <c r="V30" s="36"/>
    </row>
    <row r="31" spans="1:22" x14ac:dyDescent="0.25">
      <c r="A31" s="54"/>
      <c r="D31" s="55"/>
      <c r="E31" s="34"/>
      <c r="F31" s="35"/>
      <c r="G31" s="35" t="s">
        <v>477</v>
      </c>
      <c r="H31" s="56">
        <v>0</v>
      </c>
      <c r="I31" s="56">
        <v>0.68354430379746833</v>
      </c>
      <c r="J31" s="56">
        <v>0</v>
      </c>
      <c r="K31" s="56">
        <v>0</v>
      </c>
      <c r="L31" s="57">
        <v>0.31645569620253161</v>
      </c>
      <c r="M31" s="56"/>
      <c r="P31" s="69"/>
      <c r="Q31" s="70" t="s">
        <v>110</v>
      </c>
      <c r="R31" s="82">
        <f>IF($R$13=0,0,VLOOKUP($R$13,G:L,4,FALSE))</f>
        <v>0</v>
      </c>
      <c r="S31" s="71">
        <f>$S$13*R31</f>
        <v>0</v>
      </c>
      <c r="V31" s="36"/>
    </row>
    <row r="32" spans="1:22" x14ac:dyDescent="0.25">
      <c r="A32" s="54"/>
      <c r="D32" s="55"/>
      <c r="E32" s="34"/>
      <c r="F32" s="35"/>
      <c r="G32" s="35" t="s">
        <v>478</v>
      </c>
      <c r="H32" s="56">
        <v>0.4098360655737705</v>
      </c>
      <c r="I32" s="56">
        <v>0</v>
      </c>
      <c r="J32" s="56">
        <v>0</v>
      </c>
      <c r="K32" s="56">
        <v>0.5901639344262295</v>
      </c>
      <c r="L32" s="57">
        <v>0</v>
      </c>
      <c r="M32" s="56"/>
      <c r="P32" s="69"/>
      <c r="Q32" s="70" t="s">
        <v>111</v>
      </c>
      <c r="R32" s="82">
        <f>IF($R$13=0,0,VLOOKUP($R$13,G:L,5,FALSE))</f>
        <v>0</v>
      </c>
      <c r="S32" s="71">
        <f>$S$13*R32</f>
        <v>0</v>
      </c>
      <c r="V32" s="36"/>
    </row>
    <row r="33" spans="1:22" x14ac:dyDescent="0.25">
      <c r="A33" s="54"/>
      <c r="D33" s="55"/>
      <c r="E33" s="34"/>
      <c r="F33" s="35"/>
      <c r="G33" s="35" t="s">
        <v>479</v>
      </c>
      <c r="H33" s="56">
        <v>0</v>
      </c>
      <c r="I33" s="56">
        <v>0</v>
      </c>
      <c r="J33" s="56">
        <v>0.70588235294117652</v>
      </c>
      <c r="K33" s="56">
        <v>0</v>
      </c>
      <c r="L33" s="57">
        <v>0.29411764705882354</v>
      </c>
      <c r="M33" s="56"/>
      <c r="P33" s="69"/>
      <c r="Q33" s="70" t="s">
        <v>112</v>
      </c>
      <c r="R33" s="82">
        <f>IF($R$13=0,0,VLOOKUP($R$13,G:L,6,FALSE))</f>
        <v>0</v>
      </c>
      <c r="S33" s="71">
        <f>$S$13*R33</f>
        <v>0</v>
      </c>
      <c r="V33" s="36"/>
    </row>
    <row r="34" spans="1:22" x14ac:dyDescent="0.25">
      <c r="A34" s="54"/>
      <c r="D34" s="55"/>
      <c r="E34" s="34"/>
      <c r="F34" s="35"/>
      <c r="G34" s="35" t="s">
        <v>480</v>
      </c>
      <c r="H34" s="56">
        <v>0</v>
      </c>
      <c r="I34" s="56">
        <v>0.6</v>
      </c>
      <c r="J34" s="56">
        <v>0</v>
      </c>
      <c r="K34" s="56">
        <v>0.39999999999999997</v>
      </c>
      <c r="L34" s="57">
        <v>0</v>
      </c>
      <c r="M34" s="56"/>
      <c r="P34" s="74" t="s">
        <v>101</v>
      </c>
      <c r="Q34" s="75" t="s">
        <v>108</v>
      </c>
      <c r="R34" s="51">
        <f>IF($R$14=0,0,VLOOKUP($R$14,G:L,2,FALSE))</f>
        <v>0</v>
      </c>
      <c r="S34" s="76">
        <f>$S$14*R34</f>
        <v>0</v>
      </c>
      <c r="V34" s="36"/>
    </row>
    <row r="35" spans="1:22" x14ac:dyDescent="0.25">
      <c r="A35" s="54"/>
      <c r="D35" s="55"/>
      <c r="E35" s="34"/>
      <c r="F35" s="35"/>
      <c r="G35" s="35" t="s">
        <v>481</v>
      </c>
      <c r="H35" s="56">
        <v>0</v>
      </c>
      <c r="I35" s="56">
        <v>0</v>
      </c>
      <c r="J35" s="56">
        <v>0.625</v>
      </c>
      <c r="K35" s="56">
        <v>0.375</v>
      </c>
      <c r="L35" s="57">
        <v>0</v>
      </c>
      <c r="M35" s="56"/>
      <c r="P35" s="69"/>
      <c r="Q35" s="70" t="s">
        <v>109</v>
      </c>
      <c r="R35" s="56">
        <f>IF($R$14=0,0,VLOOKUP($R$14,G:L,3,FALSE))</f>
        <v>0</v>
      </c>
      <c r="S35" s="71">
        <f>$S$14*R35</f>
        <v>0</v>
      </c>
      <c r="V35" s="36"/>
    </row>
    <row r="36" spans="1:22" x14ac:dyDescent="0.25">
      <c r="A36" s="54"/>
      <c r="D36" s="55"/>
      <c r="E36" s="34"/>
      <c r="F36" s="35"/>
      <c r="G36" s="35" t="s">
        <v>482</v>
      </c>
      <c r="H36" s="56">
        <v>0</v>
      </c>
      <c r="I36" s="56">
        <v>0.47368421052631576</v>
      </c>
      <c r="J36" s="56">
        <v>0.52631578947368418</v>
      </c>
      <c r="K36" s="56">
        <v>0</v>
      </c>
      <c r="L36" s="57">
        <v>0</v>
      </c>
      <c r="M36" s="56"/>
      <c r="P36" s="69"/>
      <c r="Q36" s="70" t="s">
        <v>110</v>
      </c>
      <c r="R36" s="56">
        <f>IF($R$14=0,0,VLOOKUP($R$14,G:L,4,FALSE))</f>
        <v>0</v>
      </c>
      <c r="S36" s="71">
        <f>$S$14*R36</f>
        <v>0</v>
      </c>
      <c r="V36" s="36"/>
    </row>
    <row r="37" spans="1:22" x14ac:dyDescent="0.25">
      <c r="A37" s="54"/>
      <c r="D37" s="55"/>
      <c r="E37" s="36"/>
      <c r="F37" s="33"/>
      <c r="G37" s="35" t="s">
        <v>441</v>
      </c>
      <c r="H37" s="56">
        <v>1</v>
      </c>
      <c r="I37" s="56"/>
      <c r="J37" s="56"/>
      <c r="K37" s="56"/>
      <c r="L37" s="57"/>
      <c r="M37" s="56"/>
      <c r="P37" s="69"/>
      <c r="Q37" s="70" t="s">
        <v>111</v>
      </c>
      <c r="R37" s="56">
        <f>IF($R$14=0,0,VLOOKUP($R$14,G:L,5,FALSE))</f>
        <v>0</v>
      </c>
      <c r="S37" s="71">
        <f>$S$14*R37</f>
        <v>0</v>
      </c>
      <c r="V37" s="36"/>
    </row>
    <row r="38" spans="1:22" ht="15.75" thickBot="1" x14ac:dyDescent="0.3">
      <c r="A38" s="83"/>
      <c r="B38" s="84"/>
      <c r="C38" s="85"/>
      <c r="D38" s="86"/>
      <c r="E38" s="36"/>
      <c r="F38" s="33"/>
      <c r="G38" s="35" t="s">
        <v>442</v>
      </c>
      <c r="H38" s="56"/>
      <c r="I38" s="56">
        <v>1</v>
      </c>
      <c r="J38" s="56"/>
      <c r="K38" s="56"/>
      <c r="L38" s="57"/>
      <c r="M38" s="56"/>
      <c r="P38" s="77"/>
      <c r="Q38" s="78" t="s">
        <v>112</v>
      </c>
      <c r="R38" s="79">
        <f>IF($R$14=0,0,VLOOKUP($R$14,G:L,6,FALSE))</f>
        <v>0</v>
      </c>
      <c r="S38" s="80">
        <f>$S$14*R38</f>
        <v>0</v>
      </c>
      <c r="V38" s="36"/>
    </row>
    <row r="39" spans="1:22" x14ac:dyDescent="0.25">
      <c r="E39" s="36"/>
      <c r="F39" s="33"/>
      <c r="G39" s="35" t="s">
        <v>443</v>
      </c>
      <c r="H39" s="56"/>
      <c r="I39" s="56"/>
      <c r="J39" s="56">
        <v>1</v>
      </c>
      <c r="K39" s="56"/>
      <c r="L39" s="57"/>
      <c r="M39" s="56"/>
      <c r="P39" s="69" t="s">
        <v>102</v>
      </c>
      <c r="Q39" s="70" t="s">
        <v>108</v>
      </c>
      <c r="R39" s="56">
        <f>IF($R$15=0,0,VLOOKUP($R$15,G:L,2,FALSE))</f>
        <v>0</v>
      </c>
      <c r="S39" s="71">
        <f>$S$15*R39</f>
        <v>0</v>
      </c>
      <c r="V39" s="36"/>
    </row>
    <row r="40" spans="1:22" x14ac:dyDescent="0.25">
      <c r="E40" s="36"/>
      <c r="F40" s="33"/>
      <c r="G40" s="35" t="s">
        <v>444</v>
      </c>
      <c r="H40" s="56"/>
      <c r="I40" s="56"/>
      <c r="J40" s="56"/>
      <c r="K40" s="56">
        <v>1</v>
      </c>
      <c r="L40" s="57"/>
      <c r="M40" s="56"/>
      <c r="P40" s="69"/>
      <c r="Q40" s="70" t="s">
        <v>109</v>
      </c>
      <c r="R40" s="56">
        <f>IF($R$15=0,0,VLOOKUP($R$15,G:L,3,FALSE))</f>
        <v>0</v>
      </c>
      <c r="S40" s="71">
        <f>$S$15*R40</f>
        <v>0</v>
      </c>
      <c r="V40" s="36"/>
    </row>
    <row r="41" spans="1:22" x14ac:dyDescent="0.25">
      <c r="E41" s="36"/>
      <c r="F41" s="33"/>
      <c r="G41" s="87" t="s">
        <v>445</v>
      </c>
      <c r="H41" s="79"/>
      <c r="I41" s="79"/>
      <c r="J41" s="79"/>
      <c r="K41" s="79"/>
      <c r="L41" s="61">
        <v>1</v>
      </c>
      <c r="M41" s="56"/>
      <c r="P41" s="69"/>
      <c r="Q41" s="70" t="s">
        <v>110</v>
      </c>
      <c r="R41" s="56">
        <f>IF($R$15=0,0,VLOOKUP($R$15,G:L,4,FALSE))</f>
        <v>0</v>
      </c>
      <c r="S41" s="71">
        <f>$S$15*R41</f>
        <v>0</v>
      </c>
      <c r="V41" s="36"/>
    </row>
    <row r="42" spans="1:22" x14ac:dyDescent="0.25">
      <c r="E42" s="36"/>
      <c r="F42" s="33"/>
      <c r="P42" s="69"/>
      <c r="Q42" s="70" t="s">
        <v>111</v>
      </c>
      <c r="R42" s="56">
        <f>IF($R$15=0,0,VLOOKUP($R$15,G:L,5,FALSE))</f>
        <v>0</v>
      </c>
      <c r="S42" s="71">
        <f>$S$15*R42</f>
        <v>0</v>
      </c>
      <c r="V42" s="36"/>
    </row>
    <row r="43" spans="1:22" x14ac:dyDescent="0.25">
      <c r="E43" s="34"/>
      <c r="F43" s="35"/>
      <c r="P43" s="69"/>
      <c r="Q43" s="70" t="s">
        <v>112</v>
      </c>
      <c r="R43" s="56">
        <f>IF($R$15=0,0,VLOOKUP($R$15,G:L,6,FALSE))</f>
        <v>0</v>
      </c>
      <c r="S43" s="71">
        <f>$S$15*R43</f>
        <v>0</v>
      </c>
      <c r="V43" s="36"/>
    </row>
    <row r="44" spans="1:22" x14ac:dyDescent="0.25">
      <c r="E44" s="36"/>
      <c r="F44" s="33"/>
      <c r="P44" s="88" t="s">
        <v>460</v>
      </c>
      <c r="Q44" s="45"/>
      <c r="R44" s="45"/>
      <c r="S44" s="89">
        <f>SUM(S19:S43)</f>
        <v>0</v>
      </c>
      <c r="V44" s="36"/>
    </row>
    <row r="45" spans="1:22" x14ac:dyDescent="0.25">
      <c r="A45" s="91"/>
      <c r="B45" s="91"/>
      <c r="C45" s="91"/>
      <c r="D45" s="91"/>
      <c r="E45" s="92"/>
      <c r="F45" s="90"/>
      <c r="G45" s="91"/>
      <c r="H45" s="91"/>
      <c r="I45" s="91"/>
      <c r="J45" s="91"/>
      <c r="K45" s="91"/>
      <c r="L45" s="91"/>
      <c r="M45" s="91"/>
      <c r="N45" s="91"/>
      <c r="O45" s="91"/>
      <c r="P45" s="91"/>
      <c r="Q45" s="91"/>
      <c r="R45" s="91"/>
      <c r="S45" s="91"/>
      <c r="T45" s="91"/>
      <c r="U45" s="91"/>
      <c r="V45" s="92"/>
    </row>
    <row r="46" spans="1:22" x14ac:dyDescent="0.25">
      <c r="E46" s="32"/>
      <c r="F46" s="32"/>
    </row>
    <row r="47" spans="1:22" x14ac:dyDescent="0.25">
      <c r="E47" s="32"/>
      <c r="F47" s="32"/>
    </row>
    <row r="48" spans="1:22" x14ac:dyDescent="0.25">
      <c r="E48" s="32"/>
      <c r="F48" s="32"/>
    </row>
    <row r="49" spans="2:6" x14ac:dyDescent="0.25">
      <c r="E49" s="32"/>
      <c r="F49" s="32"/>
    </row>
    <row r="50" spans="2:6" x14ac:dyDescent="0.25">
      <c r="E50" s="32"/>
      <c r="F50" s="32"/>
    </row>
    <row r="51" spans="2:6" x14ac:dyDescent="0.25">
      <c r="E51" s="32"/>
      <c r="F51" s="32"/>
    </row>
    <row r="52" spans="2:6" x14ac:dyDescent="0.25">
      <c r="B52" s="70"/>
      <c r="C52" s="93"/>
      <c r="E52" s="32"/>
      <c r="F52" s="32"/>
    </row>
    <row r="53" spans="2:6" x14ac:dyDescent="0.25">
      <c r="B53" s="70"/>
      <c r="C53" s="93"/>
      <c r="E53" s="32"/>
      <c r="F53" s="32"/>
    </row>
    <row r="54" spans="2:6" x14ac:dyDescent="0.25">
      <c r="B54" s="70"/>
      <c r="C54" s="70"/>
      <c r="E54" s="32"/>
      <c r="F54" s="32"/>
    </row>
    <row r="55" spans="2:6" x14ac:dyDescent="0.25">
      <c r="E55" s="32"/>
      <c r="F55" s="32"/>
    </row>
    <row r="56" spans="2:6" x14ac:dyDescent="0.25">
      <c r="E56" s="32"/>
      <c r="F56" s="32"/>
    </row>
    <row r="57" spans="2:6" x14ac:dyDescent="0.25">
      <c r="E57" s="32"/>
      <c r="F57" s="32"/>
    </row>
    <row r="58" spans="2:6" x14ac:dyDescent="0.25">
      <c r="E58" s="32"/>
      <c r="F58" s="32"/>
    </row>
    <row r="59" spans="2:6" x14ac:dyDescent="0.25">
      <c r="E59" s="32"/>
      <c r="F59" s="32"/>
    </row>
    <row r="60" spans="2:6" x14ac:dyDescent="0.25">
      <c r="E60" s="32"/>
      <c r="F60" s="32"/>
    </row>
    <row r="61" spans="2:6" x14ac:dyDescent="0.25">
      <c r="E61" s="32"/>
      <c r="F61" s="32"/>
    </row>
    <row r="62" spans="2:6" x14ac:dyDescent="0.25">
      <c r="E62" s="32"/>
      <c r="F62" s="32"/>
    </row>
    <row r="63" spans="2:6" x14ac:dyDescent="0.25">
      <c r="E63" s="32"/>
      <c r="F63" s="32"/>
    </row>
    <row r="64" spans="2:6" x14ac:dyDescent="0.25">
      <c r="E64" s="32"/>
      <c r="F64" s="32"/>
    </row>
    <row r="65" s="32" customFormat="1" x14ac:dyDescent="0.25"/>
    <row r="66" s="32" customFormat="1" x14ac:dyDescent="0.25"/>
    <row r="67" s="32" customFormat="1" x14ac:dyDescent="0.25"/>
  </sheetData>
  <mergeCells count="8">
    <mergeCell ref="B13:C13"/>
    <mergeCell ref="B14:C14"/>
    <mergeCell ref="G7:U7"/>
    <mergeCell ref="M9:N9"/>
    <mergeCell ref="T9:U9"/>
    <mergeCell ref="M10:N11"/>
    <mergeCell ref="T10:U11"/>
    <mergeCell ref="A7:D10"/>
  </mergeCells>
  <pageMargins left="0.7" right="0.7" top="0.75" bottom="0.75" header="0.3" footer="0.3"/>
  <pageSetup paperSize="9" scale="59" fitToHeight="0" orientation="landscape" r:id="rId1"/>
  <colBreaks count="1" manualBreakCount="1">
    <brk id="5" min="6" max="5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pageSetUpPr fitToPage="1"/>
  </sheetPr>
  <dimension ref="A1:H39"/>
  <sheetViews>
    <sheetView showGridLines="0" zoomScale="115" zoomScaleNormal="115" zoomScaleSheetLayoutView="100" workbookViewId="0">
      <selection activeCell="F25" sqref="F25"/>
    </sheetView>
  </sheetViews>
  <sheetFormatPr defaultColWidth="9.28515625" defaultRowHeight="12.75" x14ac:dyDescent="0.2"/>
  <cols>
    <col min="1" max="1" width="28.7109375" style="9" customWidth="1"/>
    <col min="2" max="2" width="15.7109375" style="9" customWidth="1"/>
    <col min="3" max="3" width="16" style="9" customWidth="1"/>
    <col min="4" max="4" width="15.42578125" style="9" customWidth="1"/>
    <col min="5" max="5" width="16.7109375" style="9" customWidth="1"/>
    <col min="6" max="6" width="18.7109375" style="9" customWidth="1"/>
    <col min="7" max="7" width="25.28515625" style="9" customWidth="1"/>
    <col min="8" max="8" width="9.28515625" style="9" customWidth="1"/>
    <col min="9" max="16384" width="9.28515625" style="9"/>
  </cols>
  <sheetData>
    <row r="1" spans="1:8" ht="30.75" customHeight="1" x14ac:dyDescent="0.2">
      <c r="A1" s="475" t="s">
        <v>66</v>
      </c>
      <c r="B1" s="475"/>
      <c r="C1" s="475"/>
      <c r="D1" s="475"/>
      <c r="E1" s="475"/>
      <c r="F1" s="475"/>
      <c r="G1" s="475"/>
      <c r="H1" s="475"/>
    </row>
    <row r="2" spans="1:8" ht="16.5" thickBot="1" x14ac:dyDescent="0.3">
      <c r="E2" s="268" t="s">
        <v>67</v>
      </c>
    </row>
    <row r="3" spans="1:8" ht="13.5" x14ac:dyDescent="0.25">
      <c r="A3" s="110" t="s">
        <v>68</v>
      </c>
      <c r="B3" s="95"/>
      <c r="C3" s="96"/>
      <c r="E3" s="478" t="s">
        <v>69</v>
      </c>
      <c r="F3" s="479"/>
      <c r="G3" s="479"/>
      <c r="H3" s="479"/>
    </row>
    <row r="4" spans="1:8" ht="13.5" x14ac:dyDescent="0.25">
      <c r="A4" s="10" t="s">
        <v>70</v>
      </c>
      <c r="B4" s="480"/>
      <c r="C4" s="481"/>
    </row>
    <row r="5" spans="1:8" ht="13.5" x14ac:dyDescent="0.25">
      <c r="A5" s="10" t="s">
        <v>71</v>
      </c>
      <c r="B5" s="480"/>
      <c r="C5" s="483"/>
      <c r="D5" s="11" t="s">
        <v>72</v>
      </c>
      <c r="E5" s="482" t="str">
        <f>CONCATENATE("CROW400 ",Revisiebeheer!$B$4," versie ",Revisiebeheer!$A$4)</f>
        <v>CROW400 Definitief versie 1.3 - 2026</v>
      </c>
      <c r="F5" s="482"/>
    </row>
    <row r="6" spans="1:8" ht="25.5" x14ac:dyDescent="0.25">
      <c r="A6" s="10" t="s">
        <v>73</v>
      </c>
      <c r="B6" s="480"/>
      <c r="C6" s="483"/>
      <c r="D6" s="11" t="s">
        <v>74</v>
      </c>
      <c r="E6" s="230">
        <f>Revisiebeheer!$C$4</f>
        <v>46119</v>
      </c>
    </row>
    <row r="7" spans="1:8" ht="13.5" x14ac:dyDescent="0.25">
      <c r="A7" s="10" t="s">
        <v>75</v>
      </c>
      <c r="B7" s="480"/>
      <c r="C7" s="481"/>
      <c r="D7" s="11" t="s">
        <v>76</v>
      </c>
      <c r="E7" s="231" t="str">
        <f>Revisiebeheer!F1</f>
        <v>Alliander SRM Sourcing - Contractmanagement Aannemerij</v>
      </c>
    </row>
    <row r="8" spans="1:8" ht="13.5" x14ac:dyDescent="0.25">
      <c r="A8" s="10" t="s">
        <v>77</v>
      </c>
      <c r="B8" s="480"/>
      <c r="C8" s="483"/>
      <c r="E8" s="21"/>
      <c r="F8" s="21"/>
      <c r="G8" s="21"/>
    </row>
    <row r="9" spans="1:8" ht="15" x14ac:dyDescent="0.25">
      <c r="A9" s="10" t="s">
        <v>78</v>
      </c>
      <c r="B9" s="480"/>
      <c r="C9" s="483"/>
      <c r="E9" s="486"/>
      <c r="F9" s="486"/>
    </row>
    <row r="10" spans="1:8" ht="15.75" customHeight="1" thickBot="1" x14ac:dyDescent="0.3">
      <c r="A10" s="111" t="s">
        <v>79</v>
      </c>
      <c r="B10" s="484"/>
      <c r="C10" s="485"/>
      <c r="E10" s="476"/>
      <c r="F10" s="476"/>
      <c r="G10" s="476"/>
    </row>
    <row r="11" spans="1:8" ht="13.5" thickBot="1" x14ac:dyDescent="0.25">
      <c r="A11" s="132"/>
      <c r="B11" s="132"/>
      <c r="C11" s="132"/>
      <c r="D11" s="132"/>
      <c r="E11" s="267"/>
      <c r="F11" s="267"/>
      <c r="G11" s="267"/>
    </row>
    <row r="12" spans="1:8" ht="13.5" x14ac:dyDescent="0.25">
      <c r="A12" s="97" t="s">
        <v>80</v>
      </c>
      <c r="B12" s="98" t="s">
        <v>81</v>
      </c>
      <c r="C12" s="99"/>
      <c r="D12" s="95"/>
      <c r="E12" s="95"/>
      <c r="F12" s="95"/>
      <c r="G12" s="100" t="s">
        <v>82</v>
      </c>
    </row>
    <row r="13" spans="1:8" ht="51" x14ac:dyDescent="0.25">
      <c r="A13" s="101"/>
      <c r="B13" s="102" t="s">
        <v>83</v>
      </c>
      <c r="C13" s="103" t="s">
        <v>84</v>
      </c>
      <c r="D13" s="103" t="s">
        <v>85</v>
      </c>
      <c r="E13" s="103" t="s">
        <v>86</v>
      </c>
      <c r="F13" s="104" t="s">
        <v>87</v>
      </c>
      <c r="G13" s="105"/>
    </row>
    <row r="14" spans="1:8" ht="13.5" x14ac:dyDescent="0.25">
      <c r="A14" s="216" t="s">
        <v>88</v>
      </c>
      <c r="B14" s="12"/>
      <c r="C14" s="13"/>
      <c r="D14" s="210"/>
      <c r="E14" s="210"/>
      <c r="F14" s="13"/>
      <c r="G14" s="14">
        <f>'Alleen MBA Graven TU'!N66</f>
        <v>0</v>
      </c>
    </row>
    <row r="15" spans="1:8" ht="13.5" x14ac:dyDescent="0.25">
      <c r="A15" s="15" t="s">
        <v>89</v>
      </c>
      <c r="B15" s="12"/>
      <c r="C15" s="13"/>
      <c r="D15" s="13"/>
      <c r="E15" s="13"/>
      <c r="F15" s="13"/>
      <c r="G15" s="16">
        <f>'Oranje N-VL'!N67</f>
        <v>0</v>
      </c>
    </row>
    <row r="16" spans="1:8" ht="13.5" x14ac:dyDescent="0.25">
      <c r="A16" s="15" t="s">
        <v>90</v>
      </c>
      <c r="B16" s="12"/>
      <c r="C16" s="13"/>
      <c r="D16" s="13"/>
      <c r="E16" s="13"/>
      <c r="F16" s="13"/>
      <c r="G16" s="16">
        <f>'Oranje VL'!N67</f>
        <v>0</v>
      </c>
    </row>
    <row r="17" spans="1:7" ht="13.5" x14ac:dyDescent="0.25">
      <c r="A17" s="17" t="s">
        <v>91</v>
      </c>
      <c r="B17" s="12"/>
      <c r="C17" s="13"/>
      <c r="D17" s="13"/>
      <c r="E17" s="13"/>
      <c r="F17" s="13"/>
      <c r="G17" s="14">
        <f>'Rood N-VL'!N67</f>
        <v>0</v>
      </c>
    </row>
    <row r="18" spans="1:7" ht="13.5" x14ac:dyDescent="0.25">
      <c r="A18" s="17" t="s">
        <v>92</v>
      </c>
      <c r="B18" s="12"/>
      <c r="C18" s="13"/>
      <c r="D18" s="13"/>
      <c r="E18" s="13"/>
      <c r="F18" s="13"/>
      <c r="G18" s="14">
        <f>'Rood VL'!N67</f>
        <v>0</v>
      </c>
    </row>
    <row r="19" spans="1:7" ht="13.5" x14ac:dyDescent="0.25">
      <c r="A19" s="18" t="s">
        <v>93</v>
      </c>
      <c r="B19" s="12"/>
      <c r="C19" s="13"/>
      <c r="D19" s="13"/>
      <c r="E19" s="13"/>
      <c r="F19" s="13"/>
      <c r="G19" s="14">
        <f>'Zwart N-VL'!N67</f>
        <v>0</v>
      </c>
    </row>
    <row r="20" spans="1:7" ht="14.25" thickBot="1" x14ac:dyDescent="0.3">
      <c r="A20" s="107" t="s">
        <v>94</v>
      </c>
      <c r="B20" s="108"/>
      <c r="C20" s="109"/>
      <c r="D20" s="109"/>
      <c r="E20" s="109"/>
      <c r="F20" s="13"/>
      <c r="G20" s="19">
        <f>'Zwart VL'!N67</f>
        <v>0</v>
      </c>
    </row>
    <row r="21" spans="1:7" ht="16.5" thickBot="1" x14ac:dyDescent="0.3">
      <c r="B21" s="477" t="str">
        <f>IF((B14+B15+B16+B17+B18+B19+B20&gt;1),"Let op u heeft meer dan 1 veiligheidsklasse ingevoerd","")</f>
        <v/>
      </c>
      <c r="C21" s="477"/>
      <c r="D21" s="477"/>
      <c r="E21" s="477"/>
      <c r="F21" s="22" t="s">
        <v>95</v>
      </c>
      <c r="G21" s="106">
        <f>SUM(G14:G20)</f>
        <v>0</v>
      </c>
    </row>
    <row r="22" spans="1:7" ht="14.25" thickBot="1" x14ac:dyDescent="0.3">
      <c r="F22" s="20"/>
      <c r="G22" s="21"/>
    </row>
    <row r="23" spans="1:7" ht="13.5" x14ac:dyDescent="0.25">
      <c r="A23" s="110" t="s">
        <v>96</v>
      </c>
      <c r="B23" s="112" t="s">
        <v>97</v>
      </c>
      <c r="C23" s="113" t="s">
        <v>42</v>
      </c>
    </row>
    <row r="24" spans="1:7" ht="13.5" x14ac:dyDescent="0.25">
      <c r="A24" s="114" t="s">
        <v>98</v>
      </c>
      <c r="B24" s="24"/>
      <c r="C24" s="115"/>
    </row>
    <row r="25" spans="1:7" ht="13.5" x14ac:dyDescent="0.25">
      <c r="A25" s="114" t="s">
        <v>99</v>
      </c>
      <c r="B25" s="24"/>
      <c r="C25" s="115"/>
    </row>
    <row r="26" spans="1:7" ht="13.5" x14ac:dyDescent="0.25">
      <c r="A26" s="114" t="s">
        <v>100</v>
      </c>
      <c r="B26" s="24"/>
      <c r="C26" s="115"/>
    </row>
    <row r="27" spans="1:7" ht="13.5" x14ac:dyDescent="0.25">
      <c r="A27" s="114" t="s">
        <v>101</v>
      </c>
      <c r="B27" s="24"/>
      <c r="C27" s="115"/>
    </row>
    <row r="28" spans="1:7" ht="14.25" thickBot="1" x14ac:dyDescent="0.3">
      <c r="A28" s="114" t="s">
        <v>102</v>
      </c>
      <c r="B28" s="117"/>
      <c r="C28" s="118"/>
    </row>
    <row r="29" spans="1:7" ht="15.75" thickBot="1" x14ac:dyDescent="0.3">
      <c r="A29" s="119" t="s">
        <v>103</v>
      </c>
      <c r="B29" s="211">
        <f>SUM(B24:B28)</f>
        <v>0</v>
      </c>
      <c r="C29" s="27"/>
    </row>
    <row r="30" spans="1:7" ht="13.5" x14ac:dyDescent="0.25">
      <c r="A30" s="23"/>
      <c r="B30" s="25"/>
      <c r="C30" s="26"/>
    </row>
    <row r="31" spans="1:7" ht="13.5" x14ac:dyDescent="0.25">
      <c r="A31" s="23"/>
      <c r="B31" s="25"/>
      <c r="C31" s="26"/>
    </row>
    <row r="32" spans="1:7" ht="13.5" thickBot="1" x14ac:dyDescent="0.25">
      <c r="A32" s="28" t="s">
        <v>104</v>
      </c>
      <c r="B32" s="23"/>
      <c r="C32" s="23"/>
    </row>
    <row r="33" spans="1:3" ht="25.5" x14ac:dyDescent="0.25">
      <c r="A33" s="120" t="s">
        <v>105</v>
      </c>
      <c r="B33" s="121" t="s">
        <v>106</v>
      </c>
      <c r="C33" s="122" t="s">
        <v>107</v>
      </c>
    </row>
    <row r="34" spans="1:3" ht="13.5" x14ac:dyDescent="0.25">
      <c r="A34" s="114" t="s">
        <v>108</v>
      </c>
      <c r="B34" s="29">
        <f>'Kostenverdeling combi'!C16</f>
        <v>0</v>
      </c>
      <c r="C34" s="123">
        <f>B34*$G$21</f>
        <v>0</v>
      </c>
    </row>
    <row r="35" spans="1:3" ht="13.5" x14ac:dyDescent="0.25">
      <c r="A35" s="114" t="s">
        <v>109</v>
      </c>
      <c r="B35" s="29">
        <f>'Kostenverdeling combi'!C17</f>
        <v>0</v>
      </c>
      <c r="C35" s="123">
        <f>B35*$G$21</f>
        <v>0</v>
      </c>
    </row>
    <row r="36" spans="1:3" ht="13.5" x14ac:dyDescent="0.25">
      <c r="A36" s="114" t="s">
        <v>110</v>
      </c>
      <c r="B36" s="29">
        <f>'Kostenverdeling combi'!C18</f>
        <v>0</v>
      </c>
      <c r="C36" s="123">
        <f>B36*$G$21</f>
        <v>0</v>
      </c>
    </row>
    <row r="37" spans="1:3" ht="13.5" x14ac:dyDescent="0.25">
      <c r="A37" s="114" t="s">
        <v>111</v>
      </c>
      <c r="B37" s="29">
        <f>'Kostenverdeling combi'!C19</f>
        <v>0</v>
      </c>
      <c r="C37" s="123">
        <f>B37*$G$21</f>
        <v>0</v>
      </c>
    </row>
    <row r="38" spans="1:3" ht="14.25" thickBot="1" x14ac:dyDescent="0.3">
      <c r="A38" s="116" t="s">
        <v>112</v>
      </c>
      <c r="B38" s="29">
        <f>'Kostenverdeling combi'!C20</f>
        <v>0</v>
      </c>
      <c r="C38" s="124">
        <f>B38*$G$21</f>
        <v>0</v>
      </c>
    </row>
    <row r="39" spans="1:3" ht="14.25" thickBot="1" x14ac:dyDescent="0.3">
      <c r="A39" s="125" t="s">
        <v>113</v>
      </c>
      <c r="B39" s="126">
        <f>SUM(B34:B38)</f>
        <v>0</v>
      </c>
      <c r="C39" s="127">
        <f>SUM(C34:C38)</f>
        <v>0</v>
      </c>
    </row>
  </sheetData>
  <mergeCells count="13">
    <mergeCell ref="A1:H1"/>
    <mergeCell ref="E10:G10"/>
    <mergeCell ref="B21:E21"/>
    <mergeCell ref="E3:H3"/>
    <mergeCell ref="B4:C4"/>
    <mergeCell ref="B7:C7"/>
    <mergeCell ref="E5:F5"/>
    <mergeCell ref="B8:C8"/>
    <mergeCell ref="B9:C9"/>
    <mergeCell ref="B10:C10"/>
    <mergeCell ref="B6:C6"/>
    <mergeCell ref="B5:C5"/>
    <mergeCell ref="E9:F9"/>
  </mergeCells>
  <conditionalFormatting sqref="B21:E21">
    <cfRule type="containsText" dxfId="160" priority="1" operator="containsText" text="goed">
      <formula>NOT(ISERROR(SEARCH("goed",B21)))</formula>
    </cfRule>
  </conditionalFormatting>
  <dataValidations count="1">
    <dataValidation allowBlank="1" showInputMessage="1" showErrorMessage="1" prompt="Vul hier de naam van het project in." sqref="B4:C4" xr:uid="{00000000-0002-0000-0100-000000000000}"/>
  </dataValidations>
  <pageMargins left="0.75" right="0.75" top="1" bottom="1" header="0.5" footer="0.5"/>
  <pageSetup paperSize="9" scale="95" orientation="landscape" r:id="rId1"/>
  <headerFooter differentOddEven="1">
    <oddFooter>&amp;C&amp;8
&amp;R&amp;8Documenteigenaar: Liander-BBU
Contactpersoon: Gert Windhouwer</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1000000}">
          <x14:formula1>
            <xm:f>'Kostenverdeling combi'!$G$11:$G$41</xm:f>
          </x14:formula1>
          <xm:sqref>C24:C28</xm:sqref>
        </x14:dataValidation>
        <x14:dataValidation type="list" allowBlank="1" showInputMessage="1" showErrorMessage="1" prompt="Hier een keuze maken uit het soort werk/project" xr:uid="{00000000-0002-0000-0100-000002000000}">
          <x14:formula1>
            <xm:f>Gegevensblad!$A$10:$A$12</xm:f>
          </x14:formula1>
          <xm:sqref>B5:C5</xm:sqref>
        </x14:dataValidation>
        <x14:dataValidation type="list" allowBlank="1" showInputMessage="1" showErrorMessage="1" prompt="Wanneer de BRL7000 van toepassing is op het werk, dan hier een &quot;ja&quot; invullen." xr:uid="{00000000-0002-0000-0100-000003000000}">
          <x14:formula1>
            <xm:f>Variabelen!$O$1:$O$2</xm:f>
          </x14:formula1>
          <xm:sqref>B6:C6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dimension ref="A1:P39"/>
  <sheetViews>
    <sheetView showGridLines="0" zoomScaleNormal="100" workbookViewId="0">
      <pane xSplit="1" ySplit="7" topLeftCell="B8" activePane="bottomRight" state="frozen"/>
      <selection pane="topRight" activeCell="B1" sqref="B1"/>
      <selection pane="bottomLeft" activeCell="A2" sqref="A2"/>
      <selection pane="bottomRight" activeCell="F37" sqref="F37"/>
    </sheetView>
  </sheetViews>
  <sheetFormatPr defaultColWidth="9.28515625" defaultRowHeight="15" x14ac:dyDescent="0.25"/>
  <cols>
    <col min="1" max="1" width="12.28515625" style="280" customWidth="1"/>
    <col min="2" max="2" width="91" style="280" customWidth="1"/>
    <col min="3" max="3" width="0.7109375" style="280" customWidth="1"/>
    <col min="4" max="10" width="4.7109375" style="280" customWidth="1"/>
    <col min="11" max="11" width="0.7109375" style="280" customWidth="1"/>
    <col min="12" max="12" width="11.28515625" style="280" bestFit="1" customWidth="1"/>
    <col min="13" max="13" width="10.42578125" style="280" customWidth="1"/>
    <col min="14" max="14" width="9.28515625" style="280"/>
    <col min="15" max="16" width="0.28515625" style="280" customWidth="1"/>
    <col min="17" max="16384" width="9.28515625" style="280"/>
  </cols>
  <sheetData>
    <row r="1" spans="1:16" s="276" customFormat="1" ht="22.9" customHeight="1" x14ac:dyDescent="0.35">
      <c r="A1" s="275" t="s">
        <v>66</v>
      </c>
      <c r="C1" s="277"/>
      <c r="D1" s="277"/>
      <c r="E1" s="277"/>
      <c r="F1" s="277"/>
      <c r="G1" s="277"/>
      <c r="H1" s="277"/>
      <c r="I1" s="277"/>
      <c r="J1" s="277"/>
      <c r="K1" s="277"/>
    </row>
    <row r="2" spans="1:16" s="276" customFormat="1" ht="13.5" customHeight="1" x14ac:dyDescent="0.25">
      <c r="A2" s="278" t="s">
        <v>114</v>
      </c>
      <c r="C2" s="279"/>
      <c r="J2" s="279"/>
      <c r="K2" s="279"/>
      <c r="O2" s="280" t="s">
        <v>115</v>
      </c>
      <c r="P2" s="280">
        <v>1</v>
      </c>
    </row>
    <row r="3" spans="1:16" s="276" customFormat="1" ht="13.5" customHeight="1" x14ac:dyDescent="0.25">
      <c r="A3" s="276" t="s">
        <v>72</v>
      </c>
      <c r="B3" s="281" t="str" cm="1">
        <f t="array" ref="B3:C3">'Invul- en verrekenblad'!E5:F5</f>
        <v>CROW400 Definitief versie 1.3 - 2026</v>
      </c>
      <c r="C3" s="279">
        <v>0</v>
      </c>
      <c r="J3" s="279"/>
      <c r="K3" s="279"/>
      <c r="P3" s="280">
        <v>2</v>
      </c>
    </row>
    <row r="4" spans="1:16" s="276" customFormat="1" ht="13.5" customHeight="1" x14ac:dyDescent="0.25">
      <c r="A4" s="276" t="s">
        <v>74</v>
      </c>
      <c r="B4" s="282">
        <f>'Invul- en verrekenblad'!E6</f>
        <v>46119</v>
      </c>
      <c r="C4" s="279"/>
      <c r="J4" s="279"/>
      <c r="K4" s="279"/>
      <c r="P4" s="280">
        <v>3</v>
      </c>
    </row>
    <row r="5" spans="1:16" s="276" customFormat="1" ht="13.5" customHeight="1" x14ac:dyDescent="0.25">
      <c r="A5" s="276" t="s">
        <v>76</v>
      </c>
      <c r="B5" s="283" t="str">
        <f>'Invul- en verrekenblad'!E7</f>
        <v>Alliander SRM Sourcing - Contractmanagement Aannemerij</v>
      </c>
      <c r="C5" s="279"/>
      <c r="J5" s="279"/>
      <c r="K5" s="279"/>
      <c r="P5" s="280">
        <v>4</v>
      </c>
    </row>
    <row r="6" spans="1:16" ht="13.5" customHeight="1" thickBot="1" x14ac:dyDescent="0.3">
      <c r="A6" s="284"/>
      <c r="B6" s="285"/>
      <c r="P6" s="280">
        <v>5</v>
      </c>
    </row>
    <row r="7" spans="1:16" ht="66.75" customHeight="1" thickBot="1" x14ac:dyDescent="0.3">
      <c r="A7" s="487" t="s">
        <v>116</v>
      </c>
      <c r="B7" s="488"/>
      <c r="C7" s="286"/>
      <c r="D7" s="287" t="s">
        <v>88</v>
      </c>
      <c r="E7" s="288" t="s">
        <v>117</v>
      </c>
      <c r="F7" s="288" t="s">
        <v>118</v>
      </c>
      <c r="G7" s="289" t="s">
        <v>119</v>
      </c>
      <c r="H7" s="289" t="s">
        <v>120</v>
      </c>
      <c r="I7" s="290" t="s">
        <v>121</v>
      </c>
      <c r="J7" s="291" t="s">
        <v>122</v>
      </c>
      <c r="K7" s="286"/>
      <c r="L7" s="292" t="s">
        <v>123</v>
      </c>
      <c r="M7" s="293"/>
      <c r="P7" s="276"/>
    </row>
    <row r="8" spans="1:16" ht="15.75" x14ac:dyDescent="0.25">
      <c r="A8" s="294">
        <v>1</v>
      </c>
      <c r="B8" s="295" t="s">
        <v>124</v>
      </c>
      <c r="C8" s="295"/>
      <c r="D8" s="295"/>
      <c r="E8" s="295"/>
      <c r="F8" s="295"/>
      <c r="G8" s="295"/>
      <c r="H8" s="295"/>
      <c r="I8" s="295"/>
      <c r="J8" s="295"/>
      <c r="K8" s="295"/>
      <c r="L8" s="295"/>
      <c r="M8" s="296"/>
    </row>
    <row r="9" spans="1:16" ht="15.75" x14ac:dyDescent="0.25">
      <c r="A9" s="297" t="s">
        <v>125</v>
      </c>
      <c r="B9" s="298" t="s">
        <v>126</v>
      </c>
      <c r="C9" s="299"/>
      <c r="D9" s="273"/>
      <c r="E9" s="212"/>
      <c r="F9" s="212"/>
      <c r="G9" s="212"/>
      <c r="H9" s="212"/>
      <c r="I9" s="212"/>
      <c r="J9" s="212"/>
      <c r="K9" s="299"/>
      <c r="L9" s="300"/>
      <c r="M9" s="301"/>
    </row>
    <row r="10" spans="1:16" ht="15.75" x14ac:dyDescent="0.25">
      <c r="A10" s="302">
        <v>2</v>
      </c>
      <c r="B10" s="300" t="s">
        <v>127</v>
      </c>
      <c r="C10" s="303"/>
      <c r="D10" s="303"/>
      <c r="E10" s="303"/>
      <c r="F10" s="303"/>
      <c r="G10" s="303"/>
      <c r="H10" s="303"/>
      <c r="I10" s="303"/>
      <c r="J10" s="303"/>
      <c r="K10" s="303"/>
      <c r="L10" s="300"/>
      <c r="M10" s="301"/>
    </row>
    <row r="11" spans="1:16" ht="15.75" x14ac:dyDescent="0.25">
      <c r="A11" s="297" t="s">
        <v>128</v>
      </c>
      <c r="B11" s="298" t="s">
        <v>129</v>
      </c>
      <c r="C11" s="299"/>
      <c r="D11" s="273"/>
      <c r="E11" s="212"/>
      <c r="F11" s="212"/>
      <c r="G11" s="212"/>
      <c r="H11" s="212"/>
      <c r="I11" s="212"/>
      <c r="J11" s="212"/>
      <c r="K11" s="299"/>
      <c r="L11" s="213"/>
      <c r="M11" s="304" t="s">
        <v>130</v>
      </c>
    </row>
    <row r="12" spans="1:16" ht="15.75" x14ac:dyDescent="0.25">
      <c r="A12" s="302">
        <v>4</v>
      </c>
      <c r="B12" s="300" t="s">
        <v>131</v>
      </c>
      <c r="C12" s="303"/>
      <c r="D12" s="303"/>
      <c r="E12" s="303"/>
      <c r="F12" s="303"/>
      <c r="G12" s="303"/>
      <c r="H12" s="303"/>
      <c r="I12" s="303"/>
      <c r="J12" s="303"/>
      <c r="K12" s="303"/>
      <c r="L12" s="303"/>
      <c r="M12" s="301"/>
    </row>
    <row r="13" spans="1:16" ht="15.75" x14ac:dyDescent="0.25">
      <c r="A13" s="297" t="s">
        <v>132</v>
      </c>
      <c r="B13" s="298" t="s">
        <v>133</v>
      </c>
      <c r="C13" s="299"/>
      <c r="D13" s="273"/>
      <c r="E13" s="273"/>
      <c r="F13" s="212"/>
      <c r="G13" s="273"/>
      <c r="H13" s="212"/>
      <c r="I13" s="273"/>
      <c r="J13" s="212"/>
      <c r="K13" s="299"/>
      <c r="L13" s="213"/>
      <c r="M13" s="304" t="s">
        <v>130</v>
      </c>
    </row>
    <row r="14" spans="1:16" ht="15.75" x14ac:dyDescent="0.25">
      <c r="A14" s="297" t="s">
        <v>134</v>
      </c>
      <c r="B14" s="298" t="s">
        <v>135</v>
      </c>
      <c r="C14" s="299"/>
      <c r="D14" s="273"/>
      <c r="E14" s="273"/>
      <c r="F14" s="212"/>
      <c r="G14" s="273"/>
      <c r="H14" s="212"/>
      <c r="I14" s="273"/>
      <c r="J14" s="212"/>
      <c r="K14" s="299"/>
      <c r="L14" s="213"/>
      <c r="M14" s="304" t="s">
        <v>130</v>
      </c>
    </row>
    <row r="15" spans="1:16" ht="15.75" x14ac:dyDescent="0.25">
      <c r="A15" s="297" t="s">
        <v>136</v>
      </c>
      <c r="B15" s="298" t="s">
        <v>137</v>
      </c>
      <c r="C15" s="299"/>
      <c r="D15" s="273"/>
      <c r="E15" s="273"/>
      <c r="F15" s="212"/>
      <c r="G15" s="273"/>
      <c r="H15" s="212"/>
      <c r="I15" s="273"/>
      <c r="J15" s="212"/>
      <c r="K15" s="299"/>
      <c r="L15" s="213"/>
      <c r="M15" s="304" t="s">
        <v>130</v>
      </c>
    </row>
    <row r="16" spans="1:16" ht="15.75" x14ac:dyDescent="0.25">
      <c r="A16" s="302">
        <v>5</v>
      </c>
      <c r="B16" s="300" t="s">
        <v>138</v>
      </c>
      <c r="C16" s="303"/>
      <c r="D16" s="303"/>
      <c r="E16" s="303"/>
      <c r="F16" s="303"/>
      <c r="G16" s="303"/>
      <c r="H16" s="303"/>
      <c r="I16" s="303"/>
      <c r="J16" s="303"/>
      <c r="K16" s="303"/>
      <c r="L16" s="305"/>
      <c r="M16" s="301"/>
    </row>
    <row r="17" spans="1:13" ht="15.75" x14ac:dyDescent="0.25">
      <c r="A17" s="297" t="s">
        <v>139</v>
      </c>
      <c r="B17" s="298" t="s">
        <v>140</v>
      </c>
      <c r="C17" s="299"/>
      <c r="D17" s="212"/>
      <c r="E17" s="212"/>
      <c r="F17" s="212"/>
      <c r="G17" s="306"/>
      <c r="H17" s="306"/>
      <c r="I17" s="306"/>
      <c r="J17" s="306"/>
      <c r="K17" s="299"/>
      <c r="L17" s="305"/>
      <c r="M17" s="301"/>
    </row>
    <row r="18" spans="1:13" ht="15.75" x14ac:dyDescent="0.25">
      <c r="A18" s="297" t="s">
        <v>141</v>
      </c>
      <c r="B18" s="298" t="s">
        <v>142</v>
      </c>
      <c r="C18" s="299"/>
      <c r="D18" s="273"/>
      <c r="E18" s="273"/>
      <c r="F18" s="273"/>
      <c r="G18" s="212"/>
      <c r="H18" s="212"/>
      <c r="I18" s="212"/>
      <c r="J18" s="212"/>
      <c r="K18" s="299"/>
      <c r="L18" s="305"/>
      <c r="M18" s="301"/>
    </row>
    <row r="19" spans="1:13" ht="15.75" x14ac:dyDescent="0.25">
      <c r="A19" s="297" t="s">
        <v>143</v>
      </c>
      <c r="B19" s="298" t="s">
        <v>144</v>
      </c>
      <c r="C19" s="299"/>
      <c r="D19" s="273"/>
      <c r="E19" s="273"/>
      <c r="F19" s="273"/>
      <c r="G19" s="212"/>
      <c r="H19" s="212"/>
      <c r="I19" s="212"/>
      <c r="J19" s="212"/>
      <c r="K19" s="299"/>
      <c r="L19" s="305"/>
      <c r="M19" s="301"/>
    </row>
    <row r="20" spans="1:13" ht="15.75" x14ac:dyDescent="0.25">
      <c r="A20" s="297" t="s">
        <v>145</v>
      </c>
      <c r="B20" s="298" t="s">
        <v>146</v>
      </c>
      <c r="C20" s="299"/>
      <c r="D20" s="212"/>
      <c r="E20" s="212"/>
      <c r="F20" s="212"/>
      <c r="G20" s="212"/>
      <c r="H20" s="212"/>
      <c r="I20" s="212"/>
      <c r="J20" s="212"/>
      <c r="K20" s="299"/>
      <c r="L20" s="305"/>
      <c r="M20" s="301"/>
    </row>
    <row r="21" spans="1:13" ht="15.75" x14ac:dyDescent="0.25">
      <c r="A21" s="297" t="s">
        <v>147</v>
      </c>
      <c r="B21" s="298" t="s">
        <v>148</v>
      </c>
      <c r="C21" s="299"/>
      <c r="D21" s="212"/>
      <c r="E21" s="212"/>
      <c r="F21" s="212"/>
      <c r="G21" s="212"/>
      <c r="H21" s="212"/>
      <c r="I21" s="212"/>
      <c r="J21" s="212"/>
      <c r="K21" s="299"/>
      <c r="L21" s="305"/>
      <c r="M21" s="301"/>
    </row>
    <row r="22" spans="1:13" ht="15.75" x14ac:dyDescent="0.25">
      <c r="A22" s="297" t="s">
        <v>149</v>
      </c>
      <c r="B22" s="298" t="s">
        <v>150</v>
      </c>
      <c r="C22" s="299"/>
      <c r="D22" s="212"/>
      <c r="E22" s="212"/>
      <c r="F22" s="212"/>
      <c r="G22" s="212"/>
      <c r="H22" s="212"/>
      <c r="I22" s="212"/>
      <c r="J22" s="212"/>
      <c r="K22" s="299"/>
      <c r="L22" s="305"/>
      <c r="M22" s="301"/>
    </row>
    <row r="23" spans="1:13" ht="15.75" x14ac:dyDescent="0.25">
      <c r="A23" s="297" t="s">
        <v>151</v>
      </c>
      <c r="B23" s="298" t="s">
        <v>152</v>
      </c>
      <c r="C23" s="299"/>
      <c r="D23" s="212"/>
      <c r="E23" s="212"/>
      <c r="F23" s="212"/>
      <c r="G23" s="212"/>
      <c r="H23" s="212"/>
      <c r="I23" s="212"/>
      <c r="J23" s="212"/>
      <c r="K23" s="299"/>
      <c r="L23" s="305"/>
      <c r="M23" s="301"/>
    </row>
    <row r="24" spans="1:13" ht="15.75" x14ac:dyDescent="0.25">
      <c r="A24" s="297" t="s">
        <v>153</v>
      </c>
      <c r="B24" s="298" t="s">
        <v>154</v>
      </c>
      <c r="C24" s="299"/>
      <c r="D24" s="212"/>
      <c r="E24" s="212"/>
      <c r="F24" s="212"/>
      <c r="G24" s="212"/>
      <c r="H24" s="212"/>
      <c r="I24" s="212"/>
      <c r="J24" s="212"/>
      <c r="K24" s="299"/>
      <c r="L24" s="213"/>
      <c r="M24" s="304" t="s">
        <v>130</v>
      </c>
    </row>
    <row r="25" spans="1:13" ht="15.75" x14ac:dyDescent="0.25">
      <c r="A25" s="302">
        <v>6</v>
      </c>
      <c r="B25" s="300" t="s">
        <v>155</v>
      </c>
      <c r="C25" s="303"/>
      <c r="D25" s="303"/>
      <c r="E25" s="303"/>
      <c r="F25" s="303"/>
      <c r="G25" s="303"/>
      <c r="H25" s="303"/>
      <c r="I25" s="303"/>
      <c r="J25" s="303"/>
      <c r="K25" s="303"/>
      <c r="L25" s="305"/>
      <c r="M25" s="301"/>
    </row>
    <row r="26" spans="1:13" ht="15.75" x14ac:dyDescent="0.25">
      <c r="A26" s="297" t="s">
        <v>156</v>
      </c>
      <c r="B26" s="298" t="s">
        <v>157</v>
      </c>
      <c r="C26" s="299"/>
      <c r="D26" s="273"/>
      <c r="E26" s="212"/>
      <c r="F26" s="212"/>
      <c r="G26" s="212"/>
      <c r="H26" s="306"/>
      <c r="I26" s="306"/>
      <c r="J26" s="306"/>
      <c r="K26" s="299"/>
      <c r="L26" s="305"/>
      <c r="M26" s="301"/>
    </row>
    <row r="27" spans="1:13" ht="15.75" x14ac:dyDescent="0.25">
      <c r="A27" s="297" t="s">
        <v>158</v>
      </c>
      <c r="B27" s="298" t="s">
        <v>159</v>
      </c>
      <c r="C27" s="299"/>
      <c r="D27" s="273"/>
      <c r="E27" s="273"/>
      <c r="F27" s="273"/>
      <c r="G27" s="273"/>
      <c r="H27" s="212"/>
      <c r="I27" s="273"/>
      <c r="J27" s="212"/>
      <c r="K27" s="299"/>
      <c r="L27" s="213"/>
      <c r="M27" s="304" t="s">
        <v>130</v>
      </c>
    </row>
    <row r="28" spans="1:13" ht="15.75" x14ac:dyDescent="0.25">
      <c r="A28" s="307" t="s">
        <v>160</v>
      </c>
      <c r="B28" s="308" t="s">
        <v>161</v>
      </c>
      <c r="C28" s="309">
        <v>100</v>
      </c>
      <c r="D28" s="212"/>
      <c r="E28" s="212"/>
      <c r="F28" s="212"/>
      <c r="G28" s="212"/>
      <c r="H28" s="212"/>
      <c r="I28" s="212"/>
      <c r="J28" s="212"/>
      <c r="K28" s="309">
        <v>100</v>
      </c>
      <c r="L28" s="214"/>
      <c r="M28" s="304" t="s">
        <v>162</v>
      </c>
    </row>
    <row r="29" spans="1:13" ht="15.75" x14ac:dyDescent="0.25">
      <c r="A29" s="310" t="s">
        <v>163</v>
      </c>
      <c r="B29" s="280" t="s">
        <v>164</v>
      </c>
      <c r="C29" s="311"/>
      <c r="D29" s="212"/>
      <c r="E29" s="212"/>
      <c r="F29" s="212"/>
      <c r="G29" s="212"/>
      <c r="H29" s="212"/>
      <c r="I29" s="212"/>
      <c r="J29" s="212"/>
      <c r="K29" s="311"/>
      <c r="L29" s="213"/>
      <c r="M29" s="304" t="s">
        <v>130</v>
      </c>
    </row>
    <row r="30" spans="1:13" ht="15.75" x14ac:dyDescent="0.25">
      <c r="A30" s="302">
        <v>7</v>
      </c>
      <c r="B30" s="300" t="s">
        <v>165</v>
      </c>
      <c r="C30" s="303"/>
      <c r="D30" s="303"/>
      <c r="E30" s="303"/>
      <c r="F30" s="303"/>
      <c r="G30" s="303"/>
      <c r="H30" s="303"/>
      <c r="I30" s="303"/>
      <c r="J30" s="303"/>
      <c r="K30" s="303"/>
      <c r="L30" s="305"/>
      <c r="M30" s="301"/>
    </row>
    <row r="31" spans="1:13" ht="15.75" x14ac:dyDescent="0.25">
      <c r="A31" s="297" t="s">
        <v>166</v>
      </c>
      <c r="B31" s="298" t="s">
        <v>167</v>
      </c>
      <c r="C31" s="299"/>
      <c r="D31" s="273"/>
      <c r="E31" s="212"/>
      <c r="F31" s="306"/>
      <c r="G31" s="212"/>
      <c r="H31" s="306"/>
      <c r="I31" s="212"/>
      <c r="J31" s="306"/>
      <c r="K31" s="299"/>
      <c r="L31" s="305"/>
      <c r="M31" s="301"/>
    </row>
    <row r="32" spans="1:13" ht="15.75" x14ac:dyDescent="0.25">
      <c r="A32" s="297" t="s">
        <v>168</v>
      </c>
      <c r="B32" s="298" t="s">
        <v>169</v>
      </c>
      <c r="C32" s="299"/>
      <c r="D32" s="273"/>
      <c r="E32" s="212"/>
      <c r="F32" s="212"/>
      <c r="G32" s="212"/>
      <c r="H32" s="212"/>
      <c r="I32" s="212"/>
      <c r="J32" s="212"/>
      <c r="K32" s="299"/>
      <c r="L32" s="213"/>
      <c r="M32" s="304" t="s">
        <v>130</v>
      </c>
    </row>
    <row r="33" spans="1:13" ht="15.75" x14ac:dyDescent="0.25">
      <c r="A33" s="297" t="s">
        <v>170</v>
      </c>
      <c r="B33" s="298" t="s">
        <v>171</v>
      </c>
      <c r="C33" s="299"/>
      <c r="D33" s="273"/>
      <c r="E33" s="273"/>
      <c r="F33" s="273"/>
      <c r="G33" s="273"/>
      <c r="H33" s="273"/>
      <c r="I33" s="273"/>
      <c r="J33" s="212"/>
      <c r="K33" s="299"/>
      <c r="L33" s="213"/>
      <c r="M33" s="304" t="s">
        <v>130</v>
      </c>
    </row>
    <row r="34" spans="1:13" ht="15.75" x14ac:dyDescent="0.25">
      <c r="A34" s="302">
        <v>8</v>
      </c>
      <c r="B34" s="300" t="s">
        <v>172</v>
      </c>
      <c r="C34" s="303"/>
      <c r="D34" s="303"/>
      <c r="E34" s="303"/>
      <c r="F34" s="303"/>
      <c r="G34" s="303"/>
      <c r="H34" s="303"/>
      <c r="I34" s="303"/>
      <c r="J34" s="303"/>
      <c r="K34" s="303"/>
      <c r="L34" s="305"/>
      <c r="M34" s="301"/>
    </row>
    <row r="35" spans="1:13" ht="15.75" x14ac:dyDescent="0.25">
      <c r="A35" s="297" t="s">
        <v>173</v>
      </c>
      <c r="B35" s="298" t="s">
        <v>174</v>
      </c>
      <c r="C35" s="299"/>
      <c r="D35" s="212"/>
      <c r="E35" s="212"/>
      <c r="F35" s="212"/>
      <c r="G35" s="212"/>
      <c r="H35" s="212"/>
      <c r="I35" s="212"/>
      <c r="J35" s="212"/>
      <c r="K35" s="299"/>
      <c r="L35" s="213"/>
      <c r="M35" s="304" t="s">
        <v>130</v>
      </c>
    </row>
    <row r="36" spans="1:13" ht="15.75" x14ac:dyDescent="0.25">
      <c r="A36" s="297" t="s">
        <v>175</v>
      </c>
      <c r="B36" s="298" t="s">
        <v>176</v>
      </c>
      <c r="C36" s="299"/>
      <c r="D36" s="212"/>
      <c r="E36" s="212"/>
      <c r="F36" s="212"/>
      <c r="G36" s="212"/>
      <c r="H36" s="212"/>
      <c r="I36" s="212"/>
      <c r="J36" s="212"/>
      <c r="K36" s="299"/>
      <c r="L36" s="213"/>
      <c r="M36" s="304" t="s">
        <v>130</v>
      </c>
    </row>
    <row r="37" spans="1:13" ht="15.75" x14ac:dyDescent="0.25">
      <c r="A37" s="297" t="s">
        <v>177</v>
      </c>
      <c r="B37" s="298" t="s">
        <v>178</v>
      </c>
      <c r="C37" s="299"/>
      <c r="D37" s="212"/>
      <c r="E37" s="212"/>
      <c r="F37" s="212"/>
      <c r="G37" s="212"/>
      <c r="H37" s="212"/>
      <c r="I37" s="212"/>
      <c r="J37" s="212"/>
      <c r="K37" s="299"/>
      <c r="L37" s="305"/>
      <c r="M37" s="301"/>
    </row>
    <row r="38" spans="1:13" ht="15.75" x14ac:dyDescent="0.25">
      <c r="A38" s="297" t="s">
        <v>179</v>
      </c>
      <c r="B38" s="298" t="s">
        <v>180</v>
      </c>
      <c r="C38" s="312"/>
      <c r="D38" s="212"/>
      <c r="E38" s="212"/>
      <c r="F38" s="212"/>
      <c r="G38" s="212"/>
      <c r="H38" s="212"/>
      <c r="I38" s="212"/>
      <c r="J38" s="212"/>
      <c r="K38" s="312"/>
      <c r="L38" s="313"/>
      <c r="M38" s="314"/>
    </row>
    <row r="39" spans="1:13" ht="30.75" customHeight="1" thickBot="1" x14ac:dyDescent="0.3">
      <c r="A39" s="315" t="s">
        <v>181</v>
      </c>
      <c r="B39" s="316" t="s">
        <v>182</v>
      </c>
      <c r="C39" s="317"/>
      <c r="D39" s="215"/>
      <c r="E39" s="274"/>
      <c r="F39" s="274"/>
      <c r="G39" s="274"/>
      <c r="H39" s="274"/>
      <c r="I39" s="274"/>
      <c r="J39" s="274"/>
      <c r="K39" s="317"/>
      <c r="L39" s="214"/>
      <c r="M39" s="304" t="s">
        <v>183</v>
      </c>
    </row>
  </sheetData>
  <sheetProtection algorithmName="SHA-512" hashValue="R5xrrMc721jqU5QIfdYmEdy+zrOn8b7B/hHPGMRGjaBCbyaB5g55mcXb43WM05KIMCivMEsmgJM6bd5ir6Dnvw==" saltValue="0gSxF3TPSQymgnLaO7e7Sg==" spinCount="100000" sheet="1" selectLockedCells="1"/>
  <mergeCells count="1">
    <mergeCell ref="A7:B7"/>
  </mergeCells>
  <conditionalFormatting sqref="L11">
    <cfRule type="expression" dxfId="159" priority="83">
      <formula>F11="ja"</formula>
    </cfRule>
    <cfRule type="expression" dxfId="158" priority="82">
      <formula>G11="ja"</formula>
    </cfRule>
    <cfRule type="expression" dxfId="157" priority="81">
      <formula>D11="ja"</formula>
    </cfRule>
    <cfRule type="expression" dxfId="156" priority="80">
      <formula>H11="ja"</formula>
    </cfRule>
    <cfRule type="expression" dxfId="155" priority="79">
      <formula>I11="ja"</formula>
    </cfRule>
    <cfRule type="expression" dxfId="154" priority="84">
      <formula>E11="ja"</formula>
    </cfRule>
    <cfRule type="expression" dxfId="153" priority="78">
      <formula>J11="ja"</formula>
    </cfRule>
  </conditionalFormatting>
  <conditionalFormatting sqref="L13:L15">
    <cfRule type="expression" dxfId="152" priority="72">
      <formula>I13="ja"</formula>
    </cfRule>
    <cfRule type="expression" dxfId="151" priority="77">
      <formula>E13="ja"</formula>
    </cfRule>
    <cfRule type="expression" dxfId="150" priority="76">
      <formula>F13="ja"</formula>
    </cfRule>
    <cfRule type="expression" dxfId="149" priority="75">
      <formula>G13="ja"</formula>
    </cfRule>
    <cfRule type="expression" dxfId="148" priority="74">
      <formula>D13="ja"</formula>
    </cfRule>
    <cfRule type="expression" dxfId="147" priority="73">
      <formula>H13="ja"</formula>
    </cfRule>
    <cfRule type="expression" dxfId="146" priority="71">
      <formula>J13="ja"</formula>
    </cfRule>
  </conditionalFormatting>
  <conditionalFormatting sqref="L24">
    <cfRule type="expression" dxfId="145" priority="70">
      <formula>E24="ja"</formula>
    </cfRule>
    <cfRule type="expression" dxfId="144" priority="69">
      <formula>F24="ja"</formula>
    </cfRule>
    <cfRule type="expression" dxfId="143" priority="68">
      <formula>G24="ja"</formula>
    </cfRule>
    <cfRule type="expression" dxfId="142" priority="67">
      <formula>D24="ja"</formula>
    </cfRule>
    <cfRule type="expression" dxfId="141" priority="66">
      <formula>H24="ja"</formula>
    </cfRule>
    <cfRule type="expression" dxfId="140" priority="65">
      <formula>I24="ja"</formula>
    </cfRule>
    <cfRule type="expression" dxfId="139" priority="64">
      <formula>J24="ja"</formula>
    </cfRule>
  </conditionalFormatting>
  <conditionalFormatting sqref="L27:L29">
    <cfRule type="expression" dxfId="138" priority="43">
      <formula>J27="ja"</formula>
    </cfRule>
    <cfRule type="expression" dxfId="137" priority="44">
      <formula>I27="ja"</formula>
    </cfRule>
    <cfRule type="expression" dxfId="136" priority="45">
      <formula>H27="ja"</formula>
    </cfRule>
    <cfRule type="expression" dxfId="135" priority="46">
      <formula>D27="ja"</formula>
    </cfRule>
    <cfRule type="expression" dxfId="134" priority="47">
      <formula>G27="ja"</formula>
    </cfRule>
    <cfRule type="expression" dxfId="133" priority="48">
      <formula>F27="ja"</formula>
    </cfRule>
    <cfRule type="expression" dxfId="132" priority="49">
      <formula>E27="ja"</formula>
    </cfRule>
  </conditionalFormatting>
  <conditionalFormatting sqref="L32:L33">
    <cfRule type="expression" dxfId="131" priority="35">
      <formula>E32="ja"</formula>
    </cfRule>
    <cfRule type="expression" dxfId="130" priority="34">
      <formula>F32="ja"</formula>
    </cfRule>
    <cfRule type="expression" dxfId="129" priority="33">
      <formula>G32="ja"</formula>
    </cfRule>
    <cfRule type="expression" dxfId="128" priority="32">
      <formula>D32="ja"</formula>
    </cfRule>
    <cfRule type="expression" dxfId="127" priority="31">
      <formula>H32="ja"</formula>
    </cfRule>
    <cfRule type="expression" dxfId="126" priority="30">
      <formula>I32="ja"</formula>
    </cfRule>
    <cfRule type="expression" dxfId="125" priority="29">
      <formula>J32="ja"</formula>
    </cfRule>
  </conditionalFormatting>
  <conditionalFormatting sqref="L35:L36">
    <cfRule type="expression" dxfId="124" priority="14">
      <formula>E35="ja"</formula>
    </cfRule>
    <cfRule type="expression" dxfId="123" priority="12">
      <formula>G35="ja"</formula>
    </cfRule>
    <cfRule type="expression" dxfId="122" priority="11">
      <formula>D35="ja"</formula>
    </cfRule>
    <cfRule type="expression" dxfId="121" priority="10">
      <formula>H35="ja"</formula>
    </cfRule>
    <cfRule type="expression" dxfId="120" priority="9">
      <formula>I35="ja"</formula>
    </cfRule>
    <cfRule type="expression" dxfId="119" priority="8">
      <formula>J35="ja"</formula>
    </cfRule>
    <cfRule type="expression" dxfId="118" priority="13">
      <formula>F35="ja"</formula>
    </cfRule>
  </conditionalFormatting>
  <conditionalFormatting sqref="L39">
    <cfRule type="expression" dxfId="117" priority="7">
      <formula>E39="ja"</formula>
    </cfRule>
    <cfRule type="expression" dxfId="116" priority="1">
      <formula>J39="ja"</formula>
    </cfRule>
    <cfRule type="expression" dxfId="115" priority="6">
      <formula>F39="ja"</formula>
    </cfRule>
    <cfRule type="expression" dxfId="114" priority="5">
      <formula>G39="ja"</formula>
    </cfRule>
    <cfRule type="expression" dxfId="113" priority="4">
      <formula>D39="ja"</formula>
    </cfRule>
    <cfRule type="expression" dxfId="112" priority="3">
      <formula>H39="ja"</formula>
    </cfRule>
    <cfRule type="expression" dxfId="111" priority="2">
      <formula>I39="ja"</formula>
    </cfRule>
  </conditionalFormatting>
  <dataValidations count="2">
    <dataValidation type="list" allowBlank="1" showInputMessage="1" showErrorMessage="1" sqref="E11:J11 D35:D39 E35:J38 H32 F32 G31:G32 J32:J33 I31:I32 E31:E32 E26:G26 E9:J9 J13:J15 F13:F15 H13:H15 J27 H27 D28:J29 G18:J18 D20:J22 D17:F17" xr:uid="{00000000-0002-0000-0200-000000000000}">
      <formula1>$O$1:$O$2</formula1>
    </dataValidation>
    <dataValidation type="list" allowBlank="1" showInputMessage="1" showErrorMessage="1" sqref="G19:J19 D23:J24" xr:uid="{00000000-0002-0000-0200-000001000000}">
      <formula1>$P$1:$P$6</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filterMode="1">
    <tabColor theme="0" tint="-0.34998626667073579"/>
    <pageSetUpPr fitToPage="1"/>
  </sheetPr>
  <dimension ref="A1:R66"/>
  <sheetViews>
    <sheetView showGridLines="0" zoomScaleNormal="100" workbookViewId="0">
      <pane xSplit="2" ySplit="8" topLeftCell="C9" activePane="bottomRight" state="frozen"/>
      <selection pane="topRight" activeCell="U28" sqref="U28"/>
      <selection pane="bottomLeft" activeCell="U28" sqref="U28"/>
      <selection pane="bottomRight" activeCell="K5" sqref="K5"/>
    </sheetView>
  </sheetViews>
  <sheetFormatPr defaultColWidth="8.7109375" defaultRowHeight="11.25" outlineLevelCol="1" x14ac:dyDescent="0.25"/>
  <cols>
    <col min="1" max="1" width="12.7109375" style="362" customWidth="1"/>
    <col min="2" max="2" width="41" style="362" customWidth="1"/>
    <col min="3" max="3" width="45.5703125" style="362" customWidth="1"/>
    <col min="4" max="4" width="3.7109375" style="362" customWidth="1" outlineLevel="1"/>
    <col min="5" max="10" width="3.7109375" style="2" hidden="1" customWidth="1" outlineLevel="1"/>
    <col min="11" max="12" width="9.7109375" style="400" customWidth="1"/>
    <col min="13" max="13" width="10.42578125" style="411" customWidth="1"/>
    <col min="14" max="14" width="16.7109375" style="401" bestFit="1" customWidth="1"/>
    <col min="15" max="15" width="8.42578125" style="399" customWidth="1"/>
    <col min="16" max="17" width="8.7109375" style="378"/>
    <col min="18" max="18" width="9.42578125" style="378" bestFit="1" customWidth="1"/>
    <col min="19" max="16384" width="8.7109375" style="378"/>
  </cols>
  <sheetData>
    <row r="1" spans="1:18" s="365" customFormat="1" ht="23.25" x14ac:dyDescent="0.35">
      <c r="A1" s="318" t="s">
        <v>66</v>
      </c>
      <c r="B1" s="318"/>
      <c r="C1" s="318"/>
      <c r="D1" s="318"/>
      <c r="E1" s="144"/>
      <c r="F1" s="144"/>
      <c r="G1" s="144"/>
      <c r="H1" s="144"/>
      <c r="I1" s="144"/>
      <c r="J1" s="144"/>
      <c r="K1" s="318"/>
      <c r="L1" s="275"/>
      <c r="M1" s="275"/>
      <c r="N1" s="318"/>
      <c r="O1" s="364"/>
    </row>
    <row r="2" spans="1:18" s="366" customFormat="1" x14ac:dyDescent="0.25">
      <c r="A2" s="319" t="s">
        <v>114</v>
      </c>
      <c r="B2" s="319"/>
      <c r="C2" s="319"/>
      <c r="D2" s="319"/>
      <c r="E2" s="161"/>
      <c r="F2" s="161"/>
      <c r="G2" s="161"/>
      <c r="H2" s="161"/>
      <c r="I2" s="161"/>
      <c r="J2" s="161"/>
      <c r="L2" s="413"/>
      <c r="M2" s="414"/>
      <c r="N2" s="367"/>
    </row>
    <row r="3" spans="1:18" s="366" customFormat="1" ht="15" x14ac:dyDescent="0.25">
      <c r="A3" s="319" t="s">
        <v>72</v>
      </c>
      <c r="B3" s="320" t="str" cm="1">
        <f t="array" ref="B3:C3">'Invul- en verrekenblad'!E5:F5</f>
        <v>CROW400 Definitief versie 1.3 - 2026</v>
      </c>
      <c r="C3" s="319">
        <v>0</v>
      </c>
      <c r="D3" s="319"/>
      <c r="E3" s="161"/>
      <c r="F3" s="161"/>
      <c r="G3" s="161"/>
      <c r="H3" s="161"/>
      <c r="I3" s="161"/>
      <c r="J3" s="161"/>
      <c r="L3" s="413"/>
      <c r="M3" s="414"/>
      <c r="N3" s="368"/>
    </row>
    <row r="4" spans="1:18" s="366" customFormat="1" ht="15" x14ac:dyDescent="0.25">
      <c r="A4" s="319" t="s">
        <v>74</v>
      </c>
      <c r="B4" s="321">
        <f>'Invul- en verrekenblad'!E6</f>
        <v>46119</v>
      </c>
      <c r="C4" s="319"/>
      <c r="D4" s="319"/>
      <c r="E4" s="161"/>
      <c r="F4" s="161"/>
      <c r="G4" s="161"/>
      <c r="H4" s="161"/>
      <c r="I4" s="161"/>
      <c r="J4" s="161"/>
      <c r="L4" s="413"/>
      <c r="M4" s="280"/>
      <c r="N4" s="367"/>
    </row>
    <row r="5" spans="1:18" s="366" customFormat="1" x14ac:dyDescent="0.25">
      <c r="A5" s="319" t="s">
        <v>76</v>
      </c>
      <c r="B5" s="322" t="str">
        <f>'Invul- en verrekenblad'!E7</f>
        <v>Alliander SRM Sourcing - Contractmanagement Aannemerij</v>
      </c>
      <c r="C5" s="319"/>
      <c r="D5" s="319"/>
      <c r="E5" s="161"/>
      <c r="F5" s="161"/>
      <c r="G5" s="161"/>
      <c r="H5" s="161"/>
      <c r="I5" s="161"/>
      <c r="J5" s="161"/>
      <c r="L5" s="413"/>
      <c r="M5" s="414"/>
      <c r="N5" s="367"/>
    </row>
    <row r="6" spans="1:18" s="366" customFormat="1" ht="18.75" x14ac:dyDescent="0.3">
      <c r="A6" s="319"/>
      <c r="B6" s="323" t="s">
        <v>88</v>
      </c>
      <c r="C6" s="321"/>
      <c r="D6" s="319"/>
      <c r="E6" s="161"/>
      <c r="F6" s="161"/>
      <c r="G6" s="161"/>
      <c r="H6" s="161"/>
      <c r="I6" s="161"/>
      <c r="J6" s="161"/>
      <c r="L6" s="413"/>
      <c r="M6" s="414"/>
      <c r="N6" s="367"/>
    </row>
    <row r="7" spans="1:18" s="365" customFormat="1" ht="12" thickBot="1" x14ac:dyDescent="0.25">
      <c r="A7" s="324"/>
      <c r="B7" s="324"/>
      <c r="C7" s="325"/>
      <c r="D7" s="324"/>
      <c r="E7" s="6"/>
      <c r="F7" s="6"/>
      <c r="G7" s="6"/>
      <c r="H7" s="6"/>
      <c r="I7" s="6"/>
      <c r="J7" s="6"/>
      <c r="L7" s="276"/>
      <c r="M7" s="279"/>
      <c r="N7" s="369"/>
    </row>
    <row r="8" spans="1:18" s="365" customFormat="1" ht="12" thickBot="1" x14ac:dyDescent="0.25">
      <c r="A8" s="326" t="s">
        <v>184</v>
      </c>
      <c r="B8" s="327" t="s">
        <v>185</v>
      </c>
      <c r="C8" s="327" t="s">
        <v>186</v>
      </c>
      <c r="D8" s="328"/>
      <c r="E8" s="269"/>
      <c r="F8" s="269"/>
      <c r="G8" s="269"/>
      <c r="H8" s="269"/>
      <c r="I8" s="269"/>
      <c r="J8" s="269"/>
      <c r="K8" s="328"/>
      <c r="L8" s="489"/>
      <c r="M8" s="490"/>
      <c r="N8" s="370"/>
      <c r="O8" s="371"/>
    </row>
    <row r="9" spans="1:18" s="365" customFormat="1" ht="84" thickBot="1" x14ac:dyDescent="0.25">
      <c r="A9" s="329">
        <v>1</v>
      </c>
      <c r="B9" s="330" t="s">
        <v>124</v>
      </c>
      <c r="C9" s="327"/>
      <c r="D9" s="331" t="s">
        <v>88</v>
      </c>
      <c r="E9" s="170" t="s">
        <v>117</v>
      </c>
      <c r="F9" s="170" t="s">
        <v>118</v>
      </c>
      <c r="G9" s="171" t="s">
        <v>119</v>
      </c>
      <c r="H9" s="171" t="s">
        <v>120</v>
      </c>
      <c r="I9" s="172" t="s">
        <v>121</v>
      </c>
      <c r="J9" s="172" t="s">
        <v>122</v>
      </c>
      <c r="K9" s="372" t="s">
        <v>187</v>
      </c>
      <c r="L9" s="410" t="s">
        <v>188</v>
      </c>
      <c r="M9" s="415" t="s">
        <v>189</v>
      </c>
      <c r="N9" s="373" t="s">
        <v>190</v>
      </c>
      <c r="O9" s="374"/>
    </row>
    <row r="10" spans="1:18" s="379" customFormat="1" x14ac:dyDescent="0.2">
      <c r="A10" s="332" t="s">
        <v>191</v>
      </c>
      <c r="B10" s="333" t="s">
        <v>192</v>
      </c>
      <c r="C10" s="333" t="s">
        <v>193</v>
      </c>
      <c r="D10" s="334" t="s">
        <v>194</v>
      </c>
      <c r="E10" s="149" t="s">
        <v>115</v>
      </c>
      <c r="F10" s="149" t="s">
        <v>115</v>
      </c>
      <c r="G10" s="149" t="s">
        <v>115</v>
      </c>
      <c r="H10" s="149" t="s">
        <v>115</v>
      </c>
      <c r="I10" s="149" t="s">
        <v>115</v>
      </c>
      <c r="J10" s="149" t="s">
        <v>115</v>
      </c>
      <c r="K10" s="403"/>
      <c r="L10" s="403" t="s">
        <v>195</v>
      </c>
      <c r="M10" s="416">
        <f>Gegevensblad!M10</f>
        <v>788.15229749355558</v>
      </c>
      <c r="N10" s="376">
        <f>IF('Invul- en verrekenblad'!B5="1.1  Aansluitingen + Net",K10*M10,0)</f>
        <v>0</v>
      </c>
      <c r="O10" s="377"/>
      <c r="P10" s="378"/>
      <c r="Q10" s="378"/>
      <c r="R10" s="378"/>
    </row>
    <row r="11" spans="1:18" s="379" customFormat="1" x14ac:dyDescent="0.2">
      <c r="A11" s="335" t="s">
        <v>196</v>
      </c>
      <c r="B11" s="336" t="s">
        <v>197</v>
      </c>
      <c r="C11" s="336" t="s">
        <v>193</v>
      </c>
      <c r="D11" s="337" t="s">
        <v>194</v>
      </c>
      <c r="E11" s="133" t="s">
        <v>115</v>
      </c>
      <c r="F11" s="133" t="s">
        <v>115</v>
      </c>
      <c r="G11" s="133" t="s">
        <v>115</v>
      </c>
      <c r="H11" s="133" t="s">
        <v>115</v>
      </c>
      <c r="I11" s="133" t="s">
        <v>115</v>
      </c>
      <c r="J11" s="133" t="s">
        <v>115</v>
      </c>
      <c r="K11" s="404"/>
      <c r="L11" s="404" t="s">
        <v>195</v>
      </c>
      <c r="M11" s="416">
        <f>Gegevensblad!M11</f>
        <v>685.99735823544768</v>
      </c>
      <c r="N11" s="381">
        <f>IF('Invul- en verrekenblad'!B5="1.1a Aansluitingen",K11*M11,0)</f>
        <v>0</v>
      </c>
      <c r="P11" s="378"/>
      <c r="Q11" s="378"/>
      <c r="R11" s="378"/>
    </row>
    <row r="12" spans="1:18" s="379" customFormat="1" x14ac:dyDescent="0.2">
      <c r="A12" s="335" t="s">
        <v>198</v>
      </c>
      <c r="B12" s="336" t="s">
        <v>199</v>
      </c>
      <c r="C12" s="336" t="s">
        <v>193</v>
      </c>
      <c r="D12" s="337" t="s">
        <v>194</v>
      </c>
      <c r="E12" s="133" t="s">
        <v>115</v>
      </c>
      <c r="F12" s="133" t="s">
        <v>115</v>
      </c>
      <c r="G12" s="133" t="s">
        <v>115</v>
      </c>
      <c r="H12" s="133" t="s">
        <v>115</v>
      </c>
      <c r="I12" s="133" t="s">
        <v>115</v>
      </c>
      <c r="J12" s="133" t="s">
        <v>115</v>
      </c>
      <c r="K12" s="404"/>
      <c r="L12" s="404" t="s">
        <v>195</v>
      </c>
      <c r="M12" s="416">
        <f>Gegevensblad!M12</f>
        <v>903.01067714958174</v>
      </c>
      <c r="N12" s="381">
        <f>IF('Invul- en verrekenblad'!B5="1.1b Net",K12*M12,0)</f>
        <v>0</v>
      </c>
      <c r="O12" s="382"/>
      <c r="P12" s="378"/>
      <c r="Q12" s="378"/>
      <c r="R12" s="378"/>
    </row>
    <row r="13" spans="1:18" s="379" customFormat="1" ht="22.5" x14ac:dyDescent="0.2">
      <c r="A13" s="335" t="s">
        <v>200</v>
      </c>
      <c r="B13" s="336" t="s">
        <v>201</v>
      </c>
      <c r="C13" s="336" t="s">
        <v>202</v>
      </c>
      <c r="D13" s="338" t="s">
        <v>194</v>
      </c>
      <c r="E13" s="177" t="s">
        <v>203</v>
      </c>
      <c r="F13" s="177" t="s">
        <v>203</v>
      </c>
      <c r="G13" s="177" t="s">
        <v>203</v>
      </c>
      <c r="H13" s="177" t="s">
        <v>203</v>
      </c>
      <c r="I13" s="177" t="s">
        <v>203</v>
      </c>
      <c r="J13" s="133" t="s">
        <v>194</v>
      </c>
      <c r="K13" s="404"/>
      <c r="L13" s="404" t="s">
        <v>195</v>
      </c>
      <c r="M13" s="416">
        <f>Gegevensblad!M13</f>
        <v>13.93021898974199</v>
      </c>
      <c r="N13" s="376">
        <f>IF('Invul- en verrekenblad'!B5="1.1  Aansluitingen + Net",K13*M13,0)</f>
        <v>0</v>
      </c>
      <c r="O13" s="377"/>
      <c r="P13" s="378"/>
      <c r="Q13" s="378"/>
      <c r="R13" s="378"/>
    </row>
    <row r="14" spans="1:18" s="379" customFormat="1" x14ac:dyDescent="0.2">
      <c r="A14" s="339" t="s">
        <v>204</v>
      </c>
      <c r="B14" s="336" t="s">
        <v>205</v>
      </c>
      <c r="C14" s="340" t="s">
        <v>206</v>
      </c>
      <c r="D14" s="337" t="s">
        <v>194</v>
      </c>
      <c r="E14" s="133" t="s">
        <v>115</v>
      </c>
      <c r="F14" s="133" t="s">
        <v>115</v>
      </c>
      <c r="G14" s="133" t="s">
        <v>115</v>
      </c>
      <c r="H14" s="133" t="s">
        <v>115</v>
      </c>
      <c r="I14" s="133" t="s">
        <v>115</v>
      </c>
      <c r="J14" s="133" t="s">
        <v>207</v>
      </c>
      <c r="K14" s="404"/>
      <c r="L14" s="404" t="s">
        <v>195</v>
      </c>
      <c r="M14" s="416">
        <f>Gegevensblad!M14</f>
        <v>0</v>
      </c>
      <c r="N14" s="381">
        <f>K14*M14</f>
        <v>0</v>
      </c>
      <c r="O14" s="383"/>
      <c r="P14" s="378"/>
      <c r="Q14" s="378"/>
      <c r="R14" s="378"/>
    </row>
    <row r="15" spans="1:18" x14ac:dyDescent="0.2">
      <c r="A15" s="339" t="s">
        <v>208</v>
      </c>
      <c r="B15" s="336" t="s">
        <v>209</v>
      </c>
      <c r="C15" s="341" t="s">
        <v>210</v>
      </c>
      <c r="D15" s="337" t="s">
        <v>194</v>
      </c>
      <c r="E15" s="133" t="s">
        <v>194</v>
      </c>
      <c r="F15" s="133" t="s">
        <v>194</v>
      </c>
      <c r="G15" s="133" t="s">
        <v>115</v>
      </c>
      <c r="H15" s="133" t="s">
        <v>115</v>
      </c>
      <c r="I15" s="133" t="s">
        <v>115</v>
      </c>
      <c r="J15" s="133" t="s">
        <v>207</v>
      </c>
      <c r="K15" s="404"/>
      <c r="L15" s="404" t="s">
        <v>195</v>
      </c>
      <c r="M15" s="416">
        <f>Gegevensblad!M15</f>
        <v>27.860437979483979</v>
      </c>
      <c r="N15" s="381">
        <f>K15*M15</f>
        <v>0</v>
      </c>
      <c r="O15" s="377"/>
    </row>
    <row r="16" spans="1:18" ht="12" thickBot="1" x14ac:dyDescent="0.25">
      <c r="A16" s="342" t="s">
        <v>211</v>
      </c>
      <c r="B16" s="343" t="s">
        <v>212</v>
      </c>
      <c r="C16" s="343" t="s">
        <v>213</v>
      </c>
      <c r="D16" s="344" t="s">
        <v>194</v>
      </c>
      <c r="E16" s="148" t="s">
        <v>194</v>
      </c>
      <c r="F16" s="148" t="s">
        <v>194</v>
      </c>
      <c r="G16" s="148" t="s">
        <v>115</v>
      </c>
      <c r="H16" s="148" t="s">
        <v>115</v>
      </c>
      <c r="I16" s="148" t="s">
        <v>115</v>
      </c>
      <c r="J16" s="148" t="s">
        <v>115</v>
      </c>
      <c r="K16" s="405"/>
      <c r="L16" s="405" t="s">
        <v>195</v>
      </c>
      <c r="M16" s="416">
        <f>Gegevensblad!M16</f>
        <v>297.67270594861179</v>
      </c>
      <c r="N16" s="384">
        <f>K16*M16</f>
        <v>0</v>
      </c>
      <c r="O16" s="377"/>
    </row>
    <row r="17" spans="1:15" ht="84" thickBot="1" x14ac:dyDescent="0.25">
      <c r="A17" s="345">
        <v>2</v>
      </c>
      <c r="B17" s="330" t="s">
        <v>127</v>
      </c>
      <c r="C17" s="327"/>
      <c r="D17" s="331" t="s">
        <v>88</v>
      </c>
      <c r="E17" s="170" t="s">
        <v>117</v>
      </c>
      <c r="F17" s="170" t="s">
        <v>118</v>
      </c>
      <c r="G17" s="171" t="s">
        <v>119</v>
      </c>
      <c r="H17" s="171" t="s">
        <v>120</v>
      </c>
      <c r="I17" s="172" t="s">
        <v>121</v>
      </c>
      <c r="J17" s="172" t="s">
        <v>122</v>
      </c>
      <c r="K17" s="372"/>
      <c r="L17" s="410" t="s">
        <v>188</v>
      </c>
      <c r="M17" s="415" t="str">
        <f>Gegevensblad!M19</f>
        <v>Subtotaal Mensen</v>
      </c>
      <c r="N17" s="385"/>
      <c r="O17" s="386"/>
    </row>
    <row r="18" spans="1:15" x14ac:dyDescent="0.25">
      <c r="A18" s="346" t="s">
        <v>214</v>
      </c>
      <c r="B18" s="333" t="s">
        <v>215</v>
      </c>
      <c r="C18" s="333" t="s">
        <v>216</v>
      </c>
      <c r="D18" s="334" t="s">
        <v>194</v>
      </c>
      <c r="E18" s="184" t="s">
        <v>115</v>
      </c>
      <c r="F18" s="184" t="s">
        <v>115</v>
      </c>
      <c r="G18" s="184" t="s">
        <v>115</v>
      </c>
      <c r="H18" s="149" t="s">
        <v>194</v>
      </c>
      <c r="I18" s="149" t="s">
        <v>194</v>
      </c>
      <c r="J18" s="149" t="s">
        <v>194</v>
      </c>
      <c r="K18" s="403"/>
      <c r="L18" s="403" t="s">
        <v>217</v>
      </c>
      <c r="M18" s="409">
        <f>Gegevensblad!M20</f>
        <v>811.64024501280403</v>
      </c>
      <c r="N18" s="387">
        <f t="shared" ref="N18:N24" si="0">K18*M18</f>
        <v>0</v>
      </c>
      <c r="O18" s="377"/>
    </row>
    <row r="19" spans="1:15" x14ac:dyDescent="0.25">
      <c r="A19" s="347" t="s">
        <v>218</v>
      </c>
      <c r="B19" s="336" t="s">
        <v>219</v>
      </c>
      <c r="C19" s="336" t="s">
        <v>220</v>
      </c>
      <c r="D19" s="337" t="s">
        <v>194</v>
      </c>
      <c r="E19" s="133" t="s">
        <v>194</v>
      </c>
      <c r="F19" s="133" t="s">
        <v>194</v>
      </c>
      <c r="G19" s="133" t="s">
        <v>194</v>
      </c>
      <c r="H19" s="146" t="s">
        <v>115</v>
      </c>
      <c r="I19" s="146" t="s">
        <v>115</v>
      </c>
      <c r="J19" s="146" t="s">
        <v>115</v>
      </c>
      <c r="K19" s="404"/>
      <c r="L19" s="404" t="s">
        <v>217</v>
      </c>
      <c r="M19" s="412">
        <f>Gegevensblad!M21</f>
        <v>811.64024501280403</v>
      </c>
      <c r="N19" s="388">
        <f t="shared" si="0"/>
        <v>0</v>
      </c>
      <c r="O19" s="377"/>
    </row>
    <row r="20" spans="1:15" x14ac:dyDescent="0.25">
      <c r="A20" s="347" t="s">
        <v>221</v>
      </c>
      <c r="B20" s="336" t="s">
        <v>222</v>
      </c>
      <c r="C20" s="336" t="s">
        <v>223</v>
      </c>
      <c r="D20" s="337" t="s">
        <v>194</v>
      </c>
      <c r="E20" s="133" t="s">
        <v>194</v>
      </c>
      <c r="F20" s="133" t="s">
        <v>194</v>
      </c>
      <c r="G20" s="133" t="s">
        <v>194</v>
      </c>
      <c r="H20" s="146" t="s">
        <v>115</v>
      </c>
      <c r="I20" s="146" t="s">
        <v>115</v>
      </c>
      <c r="J20" s="146" t="s">
        <v>115</v>
      </c>
      <c r="K20" s="404"/>
      <c r="L20" s="404" t="s">
        <v>217</v>
      </c>
      <c r="M20" s="412">
        <f>Gegevensblad!M22</f>
        <v>0</v>
      </c>
      <c r="N20" s="388">
        <f t="shared" si="0"/>
        <v>0</v>
      </c>
      <c r="O20" s="377"/>
    </row>
    <row r="21" spans="1:15" x14ac:dyDescent="0.25">
      <c r="A21" s="347" t="s">
        <v>224</v>
      </c>
      <c r="B21" s="336" t="s">
        <v>225</v>
      </c>
      <c r="C21" s="336" t="s">
        <v>226</v>
      </c>
      <c r="D21" s="337" t="s">
        <v>194</v>
      </c>
      <c r="E21" s="133" t="s">
        <v>194</v>
      </c>
      <c r="F21" s="133" t="s">
        <v>194</v>
      </c>
      <c r="G21" s="133" t="s">
        <v>194</v>
      </c>
      <c r="H21" s="146" t="s">
        <v>115</v>
      </c>
      <c r="I21" s="146" t="s">
        <v>115</v>
      </c>
      <c r="J21" s="146" t="s">
        <v>115</v>
      </c>
      <c r="K21" s="404"/>
      <c r="L21" s="404" t="s">
        <v>217</v>
      </c>
      <c r="M21" s="412">
        <f>Gegevensblad!M23</f>
        <v>0</v>
      </c>
      <c r="N21" s="388">
        <f t="shared" si="0"/>
        <v>0</v>
      </c>
      <c r="O21" s="377"/>
    </row>
    <row r="22" spans="1:15" x14ac:dyDescent="0.25">
      <c r="A22" s="347" t="s">
        <v>227</v>
      </c>
      <c r="B22" s="336" t="s">
        <v>228</v>
      </c>
      <c r="C22" s="336" t="s">
        <v>229</v>
      </c>
      <c r="D22" s="337" t="s">
        <v>194</v>
      </c>
      <c r="E22" s="133" t="s">
        <v>115</v>
      </c>
      <c r="F22" s="146" t="s">
        <v>115</v>
      </c>
      <c r="G22" s="146" t="s">
        <v>115</v>
      </c>
      <c r="H22" s="133" t="s">
        <v>194</v>
      </c>
      <c r="I22" s="133" t="s">
        <v>194</v>
      </c>
      <c r="J22" s="133" t="s">
        <v>194</v>
      </c>
      <c r="K22" s="404"/>
      <c r="L22" s="404" t="s">
        <v>217</v>
      </c>
      <c r="M22" s="412">
        <f>Gegevensblad!M24</f>
        <v>49.661587741513571</v>
      </c>
      <c r="N22" s="388">
        <f t="shared" si="0"/>
        <v>0</v>
      </c>
      <c r="O22" s="377"/>
    </row>
    <row r="23" spans="1:15" x14ac:dyDescent="0.25">
      <c r="A23" s="347" t="s">
        <v>230</v>
      </c>
      <c r="B23" s="336" t="s">
        <v>231</v>
      </c>
      <c r="C23" s="336" t="s">
        <v>232</v>
      </c>
      <c r="D23" s="337" t="s">
        <v>194</v>
      </c>
      <c r="E23" s="133" t="s">
        <v>194</v>
      </c>
      <c r="F23" s="133" t="s">
        <v>194</v>
      </c>
      <c r="G23" s="133" t="s">
        <v>194</v>
      </c>
      <c r="H23" s="146" t="s">
        <v>115</v>
      </c>
      <c r="I23" s="146" t="s">
        <v>115</v>
      </c>
      <c r="J23" s="146" t="s">
        <v>115</v>
      </c>
      <c r="K23" s="404"/>
      <c r="L23" s="404" t="s">
        <v>217</v>
      </c>
      <c r="M23" s="412">
        <f>Gegevensblad!M25</f>
        <v>60.976513910007291</v>
      </c>
      <c r="N23" s="388">
        <f t="shared" si="0"/>
        <v>0</v>
      </c>
      <c r="O23" s="377"/>
    </row>
    <row r="24" spans="1:15" ht="23.25" thickBot="1" x14ac:dyDescent="0.3">
      <c r="A24" s="348" t="s">
        <v>128</v>
      </c>
      <c r="B24" s="343" t="s">
        <v>233</v>
      </c>
      <c r="C24" s="343" t="s">
        <v>234</v>
      </c>
      <c r="D24" s="344" t="s">
        <v>194</v>
      </c>
      <c r="E24" s="188" t="s">
        <v>203</v>
      </c>
      <c r="F24" s="188" t="s">
        <v>203</v>
      </c>
      <c r="G24" s="188" t="s">
        <v>203</v>
      </c>
      <c r="H24" s="188" t="s">
        <v>203</v>
      </c>
      <c r="I24" s="188" t="s">
        <v>203</v>
      </c>
      <c r="J24" s="188" t="s">
        <v>203</v>
      </c>
      <c r="K24" s="405"/>
      <c r="L24" s="417" t="s">
        <v>235</v>
      </c>
      <c r="M24" s="418">
        <f>Gegevensblad!M26</f>
        <v>0</v>
      </c>
      <c r="N24" s="391">
        <f t="shared" si="0"/>
        <v>0</v>
      </c>
      <c r="O24" s="377"/>
    </row>
    <row r="25" spans="1:15" ht="84" thickBot="1" x14ac:dyDescent="0.25">
      <c r="A25" s="345">
        <v>3</v>
      </c>
      <c r="B25" s="330" t="s">
        <v>236</v>
      </c>
      <c r="C25" s="327"/>
      <c r="D25" s="331" t="s">
        <v>88</v>
      </c>
      <c r="E25" s="170" t="s">
        <v>117</v>
      </c>
      <c r="F25" s="170" t="s">
        <v>118</v>
      </c>
      <c r="G25" s="171" t="s">
        <v>119</v>
      </c>
      <c r="H25" s="171" t="s">
        <v>120</v>
      </c>
      <c r="I25" s="172" t="s">
        <v>121</v>
      </c>
      <c r="J25" s="172" t="s">
        <v>122</v>
      </c>
      <c r="K25" s="372"/>
      <c r="L25" s="410" t="s">
        <v>188</v>
      </c>
      <c r="M25" s="415" t="str">
        <f>Gegevensblad!M27</f>
        <v>Prijs per eenheid (€)</v>
      </c>
      <c r="N25" s="385"/>
      <c r="O25" s="386"/>
    </row>
    <row r="26" spans="1:15" x14ac:dyDescent="0.25">
      <c r="A26" s="346" t="s">
        <v>237</v>
      </c>
      <c r="B26" s="333" t="s">
        <v>238</v>
      </c>
      <c r="C26" s="333" t="s">
        <v>239</v>
      </c>
      <c r="D26" s="334" t="s">
        <v>194</v>
      </c>
      <c r="E26" s="149" t="s">
        <v>115</v>
      </c>
      <c r="F26" s="149" t="s">
        <v>115</v>
      </c>
      <c r="G26" s="184" t="s">
        <v>115</v>
      </c>
      <c r="H26" s="149" t="s">
        <v>194</v>
      </c>
      <c r="I26" s="149" t="s">
        <v>194</v>
      </c>
      <c r="J26" s="149" t="s">
        <v>194</v>
      </c>
      <c r="K26" s="403"/>
      <c r="L26" s="403" t="s">
        <v>195</v>
      </c>
      <c r="M26" s="409">
        <f>Gegevensblad!M28</f>
        <v>620.76984676891959</v>
      </c>
      <c r="N26" s="387">
        <f>K26*M26</f>
        <v>0</v>
      </c>
      <c r="O26" s="377"/>
    </row>
    <row r="27" spans="1:15" ht="12" thickBot="1" x14ac:dyDescent="0.3">
      <c r="A27" s="349" t="s">
        <v>240</v>
      </c>
      <c r="B27" s="343" t="s">
        <v>241</v>
      </c>
      <c r="C27" s="343" t="s">
        <v>242</v>
      </c>
      <c r="D27" s="344" t="s">
        <v>194</v>
      </c>
      <c r="E27" s="148" t="s">
        <v>194</v>
      </c>
      <c r="F27" s="148" t="s">
        <v>194</v>
      </c>
      <c r="G27" s="148" t="s">
        <v>194</v>
      </c>
      <c r="H27" s="188" t="s">
        <v>115</v>
      </c>
      <c r="I27" s="188" t="s">
        <v>115</v>
      </c>
      <c r="J27" s="188" t="s">
        <v>115</v>
      </c>
      <c r="K27" s="405"/>
      <c r="L27" s="405" t="s">
        <v>195</v>
      </c>
      <c r="M27" s="419">
        <f>Gegevensblad!M29</f>
        <v>762.2064238750911</v>
      </c>
      <c r="N27" s="391">
        <f>K27*M27</f>
        <v>0</v>
      </c>
      <c r="O27" s="377"/>
    </row>
    <row r="28" spans="1:15" ht="84" thickBot="1" x14ac:dyDescent="0.25">
      <c r="A28" s="329">
        <v>4</v>
      </c>
      <c r="B28" s="330" t="s">
        <v>131</v>
      </c>
      <c r="C28" s="327"/>
      <c r="D28" s="331" t="s">
        <v>88</v>
      </c>
      <c r="E28" s="170" t="s">
        <v>117</v>
      </c>
      <c r="F28" s="170" t="s">
        <v>118</v>
      </c>
      <c r="G28" s="171" t="s">
        <v>119</v>
      </c>
      <c r="H28" s="171" t="s">
        <v>120</v>
      </c>
      <c r="I28" s="172" t="s">
        <v>121</v>
      </c>
      <c r="J28" s="172" t="s">
        <v>122</v>
      </c>
      <c r="K28" s="372"/>
      <c r="L28" s="410" t="s">
        <v>188</v>
      </c>
      <c r="M28" s="415" t="str">
        <f>Gegevensblad!M30</f>
        <v>Prijs per eenheid (€)</v>
      </c>
      <c r="N28" s="385"/>
      <c r="O28" s="386"/>
    </row>
    <row r="29" spans="1:15" ht="22.5" x14ac:dyDescent="0.25">
      <c r="A29" s="350" t="s">
        <v>132</v>
      </c>
      <c r="B29" s="333" t="s">
        <v>133</v>
      </c>
      <c r="C29" s="333" t="s">
        <v>243</v>
      </c>
      <c r="D29" s="334" t="s">
        <v>194</v>
      </c>
      <c r="E29" s="149" t="s">
        <v>194</v>
      </c>
      <c r="F29" s="149" t="s">
        <v>203</v>
      </c>
      <c r="G29" s="149" t="s">
        <v>194</v>
      </c>
      <c r="H29" s="149" t="s">
        <v>203</v>
      </c>
      <c r="I29" s="149" t="s">
        <v>194</v>
      </c>
      <c r="J29" s="149" t="s">
        <v>203</v>
      </c>
      <c r="K29" s="403"/>
      <c r="L29" s="420" t="s">
        <v>235</v>
      </c>
      <c r="M29" s="420">
        <f>Gegevensblad!M31</f>
        <v>0</v>
      </c>
      <c r="N29" s="387">
        <f>K29*M29</f>
        <v>0</v>
      </c>
      <c r="O29" s="377"/>
    </row>
    <row r="30" spans="1:15" ht="22.5" x14ac:dyDescent="0.25">
      <c r="A30" s="351" t="s">
        <v>134</v>
      </c>
      <c r="B30" s="336" t="s">
        <v>135</v>
      </c>
      <c r="C30" s="336" t="s">
        <v>243</v>
      </c>
      <c r="D30" s="337" t="s">
        <v>194</v>
      </c>
      <c r="E30" s="133" t="s">
        <v>194</v>
      </c>
      <c r="F30" s="133" t="s">
        <v>203</v>
      </c>
      <c r="G30" s="133" t="s">
        <v>194</v>
      </c>
      <c r="H30" s="133" t="s">
        <v>203</v>
      </c>
      <c r="I30" s="133" t="s">
        <v>194</v>
      </c>
      <c r="J30" s="133" t="s">
        <v>203</v>
      </c>
      <c r="K30" s="404"/>
      <c r="L30" s="421" t="s">
        <v>235</v>
      </c>
      <c r="M30" s="421">
        <f>Gegevensblad!M32</f>
        <v>0</v>
      </c>
      <c r="N30" s="388">
        <f>K30*M30</f>
        <v>0</v>
      </c>
      <c r="O30" s="377"/>
    </row>
    <row r="31" spans="1:15" ht="23.25" thickBot="1" x14ac:dyDescent="0.3">
      <c r="A31" s="348" t="s">
        <v>136</v>
      </c>
      <c r="B31" s="343" t="s">
        <v>137</v>
      </c>
      <c r="C31" s="343" t="s">
        <v>244</v>
      </c>
      <c r="D31" s="344" t="s">
        <v>194</v>
      </c>
      <c r="E31" s="148" t="s">
        <v>194</v>
      </c>
      <c r="F31" s="148" t="s">
        <v>203</v>
      </c>
      <c r="G31" s="148" t="s">
        <v>194</v>
      </c>
      <c r="H31" s="148" t="s">
        <v>203</v>
      </c>
      <c r="I31" s="148" t="s">
        <v>194</v>
      </c>
      <c r="J31" s="148" t="s">
        <v>203</v>
      </c>
      <c r="K31" s="405"/>
      <c r="L31" s="418" t="s">
        <v>235</v>
      </c>
      <c r="M31" s="418">
        <f>Gegevensblad!M33</f>
        <v>0</v>
      </c>
      <c r="N31" s="391">
        <f>K31*M31</f>
        <v>0</v>
      </c>
      <c r="O31" s="377"/>
    </row>
    <row r="32" spans="1:15" ht="84" thickBot="1" x14ac:dyDescent="0.3">
      <c r="A32" s="329">
        <v>5</v>
      </c>
      <c r="B32" s="352" t="s">
        <v>245</v>
      </c>
      <c r="C32" s="352"/>
      <c r="D32" s="331" t="s">
        <v>88</v>
      </c>
      <c r="E32" s="170" t="s">
        <v>117</v>
      </c>
      <c r="F32" s="170" t="s">
        <v>118</v>
      </c>
      <c r="G32" s="171" t="s">
        <v>119</v>
      </c>
      <c r="H32" s="171" t="s">
        <v>120</v>
      </c>
      <c r="I32" s="172" t="s">
        <v>121</v>
      </c>
      <c r="J32" s="172" t="s">
        <v>122</v>
      </c>
      <c r="K32" s="372"/>
      <c r="L32" s="410" t="s">
        <v>188</v>
      </c>
      <c r="M32" s="415" t="str">
        <f>Gegevensblad!M34</f>
        <v>Prijs per eenheid (€)</v>
      </c>
      <c r="N32" s="385"/>
      <c r="O32" s="386"/>
    </row>
    <row r="33" spans="1:18" ht="33.75" x14ac:dyDescent="0.25">
      <c r="A33" s="346" t="s">
        <v>246</v>
      </c>
      <c r="B33" s="333" t="s">
        <v>247</v>
      </c>
      <c r="C33" s="353" t="s">
        <v>248</v>
      </c>
      <c r="D33" s="334" t="s">
        <v>115</v>
      </c>
      <c r="E33" s="149" t="s">
        <v>115</v>
      </c>
      <c r="F33" s="149" t="s">
        <v>115</v>
      </c>
      <c r="G33" s="149" t="s">
        <v>115</v>
      </c>
      <c r="H33" s="149" t="s">
        <v>115</v>
      </c>
      <c r="I33" s="149" t="s">
        <v>115</v>
      </c>
      <c r="J33" s="149" t="s">
        <v>115</v>
      </c>
      <c r="K33" s="375">
        <f>IF('Invul- en verrekenblad'!B14=1,'Invul- en verrekenblad'!C14,0)</f>
        <v>0</v>
      </c>
      <c r="L33" s="403" t="s">
        <v>217</v>
      </c>
      <c r="M33" s="409">
        <f>Gegevensblad!M35</f>
        <v>0</v>
      </c>
      <c r="N33" s="387">
        <f t="shared" ref="N33:N42" si="1">K33*M33</f>
        <v>0</v>
      </c>
      <c r="O33" s="377"/>
    </row>
    <row r="34" spans="1:18" ht="22.5" x14ac:dyDescent="0.25">
      <c r="A34" s="347" t="s">
        <v>139</v>
      </c>
      <c r="B34" s="336" t="s">
        <v>140</v>
      </c>
      <c r="C34" s="354" t="s">
        <v>249</v>
      </c>
      <c r="D34" s="337" t="s">
        <v>203</v>
      </c>
      <c r="E34" s="133" t="s">
        <v>203</v>
      </c>
      <c r="F34" s="133" t="s">
        <v>203</v>
      </c>
      <c r="G34" s="133" t="s">
        <v>115</v>
      </c>
      <c r="H34" s="133" t="s">
        <v>115</v>
      </c>
      <c r="I34" s="133" t="s">
        <v>115</v>
      </c>
      <c r="J34" s="133" t="s">
        <v>115</v>
      </c>
      <c r="K34" s="380" t="b">
        <f>IF('Invul- en verrekenblad'!B14=1,IF(Variabelen!D17="ja",1,0))</f>
        <v>0</v>
      </c>
      <c r="L34" s="404" t="s">
        <v>250</v>
      </c>
      <c r="M34" s="412">
        <f>Gegevensblad!M36</f>
        <v>9.9831560644368125</v>
      </c>
      <c r="N34" s="388">
        <f t="shared" si="1"/>
        <v>0</v>
      </c>
      <c r="O34" s="377"/>
    </row>
    <row r="35" spans="1:18" ht="22.5" x14ac:dyDescent="0.25">
      <c r="A35" s="351" t="s">
        <v>141</v>
      </c>
      <c r="B35" s="336" t="s">
        <v>251</v>
      </c>
      <c r="C35" s="336" t="s">
        <v>252</v>
      </c>
      <c r="D35" s="337" t="s">
        <v>194</v>
      </c>
      <c r="E35" s="133" t="s">
        <v>194</v>
      </c>
      <c r="F35" s="133" t="s">
        <v>194</v>
      </c>
      <c r="G35" s="177" t="s">
        <v>203</v>
      </c>
      <c r="H35" s="177" t="s">
        <v>203</v>
      </c>
      <c r="I35" s="177" t="s">
        <v>203</v>
      </c>
      <c r="J35" s="177" t="s">
        <v>203</v>
      </c>
      <c r="K35" s="404"/>
      <c r="L35" s="404" t="s">
        <v>217</v>
      </c>
      <c r="M35" s="412">
        <f>Gegevensblad!M37</f>
        <v>152.18225707982944</v>
      </c>
      <c r="N35" s="388">
        <f t="shared" si="1"/>
        <v>0</v>
      </c>
      <c r="O35" s="377"/>
    </row>
    <row r="36" spans="1:18" ht="22.5" x14ac:dyDescent="0.25">
      <c r="A36" s="351" t="s">
        <v>143</v>
      </c>
      <c r="B36" s="336" t="s">
        <v>253</v>
      </c>
      <c r="C36" s="336" t="s">
        <v>254</v>
      </c>
      <c r="D36" s="337" t="s">
        <v>194</v>
      </c>
      <c r="E36" s="133" t="s">
        <v>194</v>
      </c>
      <c r="F36" s="133" t="s">
        <v>194</v>
      </c>
      <c r="G36" s="177" t="s">
        <v>203</v>
      </c>
      <c r="H36" s="177" t="s">
        <v>203</v>
      </c>
      <c r="I36" s="177" t="s">
        <v>203</v>
      </c>
      <c r="J36" s="177" t="s">
        <v>203</v>
      </c>
      <c r="K36" s="406"/>
      <c r="L36" s="406" t="s">
        <v>250</v>
      </c>
      <c r="M36" s="412">
        <f>Gegevensblad!M38</f>
        <v>436.76307781911055</v>
      </c>
      <c r="N36" s="388">
        <f t="shared" si="1"/>
        <v>0</v>
      </c>
      <c r="O36" s="377"/>
    </row>
    <row r="37" spans="1:18" x14ac:dyDescent="0.25">
      <c r="A37" s="347" t="s">
        <v>255</v>
      </c>
      <c r="B37" s="336" t="s">
        <v>256</v>
      </c>
      <c r="C37" s="336" t="s">
        <v>257</v>
      </c>
      <c r="D37" s="337" t="s">
        <v>194</v>
      </c>
      <c r="E37" s="133" t="s">
        <v>115</v>
      </c>
      <c r="F37" s="133" t="s">
        <v>115</v>
      </c>
      <c r="G37" s="133" t="s">
        <v>115</v>
      </c>
      <c r="H37" s="133" t="s">
        <v>115</v>
      </c>
      <c r="I37" s="133" t="s">
        <v>115</v>
      </c>
      <c r="J37" s="133" t="s">
        <v>115</v>
      </c>
      <c r="K37" s="404"/>
      <c r="L37" s="406" t="s">
        <v>217</v>
      </c>
      <c r="M37" s="412">
        <f>Gegevensblad!M39</f>
        <v>12.478945080546016</v>
      </c>
      <c r="N37" s="388">
        <f t="shared" si="1"/>
        <v>0</v>
      </c>
      <c r="O37" s="377"/>
    </row>
    <row r="38" spans="1:18" ht="45" x14ac:dyDescent="0.25">
      <c r="A38" s="351" t="s">
        <v>145</v>
      </c>
      <c r="B38" s="336" t="s">
        <v>146</v>
      </c>
      <c r="C38" s="354" t="s">
        <v>258</v>
      </c>
      <c r="D38" s="337" t="s">
        <v>203</v>
      </c>
      <c r="E38" s="177" t="s">
        <v>203</v>
      </c>
      <c r="F38" s="177" t="s">
        <v>203</v>
      </c>
      <c r="G38" s="177" t="s">
        <v>203</v>
      </c>
      <c r="H38" s="177" t="s">
        <v>203</v>
      </c>
      <c r="I38" s="177" t="s">
        <v>203</v>
      </c>
      <c r="J38" s="177" t="s">
        <v>203</v>
      </c>
      <c r="K38" s="394" t="b">
        <f>IF('Invul- en verrekenblad'!B6="ja",IF('Invul- en verrekenblad'!B14=1,IF(Variabelen!D20="ja",'Invul- en verrekenblad'!F14,0)))</f>
        <v>0</v>
      </c>
      <c r="L38" s="406" t="s">
        <v>259</v>
      </c>
      <c r="M38" s="412">
        <f>Gegevensblad!M40</f>
        <v>1.1231050572491412</v>
      </c>
      <c r="N38" s="388">
        <f t="shared" si="1"/>
        <v>0</v>
      </c>
      <c r="O38" s="377"/>
      <c r="R38" s="368"/>
    </row>
    <row r="39" spans="1:18" ht="45" x14ac:dyDescent="0.25">
      <c r="A39" s="351" t="s">
        <v>147</v>
      </c>
      <c r="B39" s="336" t="s">
        <v>260</v>
      </c>
      <c r="C39" s="354" t="s">
        <v>261</v>
      </c>
      <c r="D39" s="337" t="s">
        <v>203</v>
      </c>
      <c r="E39" s="177" t="s">
        <v>203</v>
      </c>
      <c r="F39" s="177" t="s">
        <v>203</v>
      </c>
      <c r="G39" s="177" t="s">
        <v>203</v>
      </c>
      <c r="H39" s="177" t="s">
        <v>203</v>
      </c>
      <c r="I39" s="177" t="s">
        <v>203</v>
      </c>
      <c r="J39" s="177" t="s">
        <v>203</v>
      </c>
      <c r="K39" s="394" t="b">
        <f>IF('Invul- en verrekenblad'!B6="ja",IF('Invul- en verrekenblad'!B14=1,IF(Variabelen!D21="ja",'Invul- en verrekenblad'!F14*('Invul- en verrekenblad'!C14/5),0)))</f>
        <v>0</v>
      </c>
      <c r="L39" s="404" t="s">
        <v>262</v>
      </c>
      <c r="M39" s="412">
        <f>Gegevensblad!M41</f>
        <v>7.045474864806919</v>
      </c>
      <c r="N39" s="388">
        <f t="shared" si="1"/>
        <v>0</v>
      </c>
      <c r="O39" s="377"/>
    </row>
    <row r="40" spans="1:18" ht="56.25" x14ac:dyDescent="0.25">
      <c r="A40" s="351" t="s">
        <v>149</v>
      </c>
      <c r="B40" s="336" t="s">
        <v>263</v>
      </c>
      <c r="C40" s="354" t="s">
        <v>264</v>
      </c>
      <c r="D40" s="337" t="s">
        <v>203</v>
      </c>
      <c r="E40" s="177" t="s">
        <v>203</v>
      </c>
      <c r="F40" s="177" t="s">
        <v>203</v>
      </c>
      <c r="G40" s="177" t="s">
        <v>203</v>
      </c>
      <c r="H40" s="177" t="s">
        <v>203</v>
      </c>
      <c r="I40" s="177" t="s">
        <v>203</v>
      </c>
      <c r="J40" s="177" t="s">
        <v>203</v>
      </c>
      <c r="K40" s="395" t="b">
        <f>IF('Invul- en verrekenblad'!B6="ja",IF('Invul- en verrekenblad'!B14=1,IF(Variabelen!D22="ja",'Invul- en verrekenblad'!F14/3.5*('Invul- en verrekenblad'!C14/5),0)))</f>
        <v>0</v>
      </c>
      <c r="L40" s="404" t="s">
        <v>265</v>
      </c>
      <c r="M40" s="412">
        <f>Gegevensblad!M42</f>
        <v>8.4545698377683021</v>
      </c>
      <c r="N40" s="388">
        <f t="shared" si="1"/>
        <v>0</v>
      </c>
      <c r="O40" s="377"/>
    </row>
    <row r="41" spans="1:18" ht="22.5" x14ac:dyDescent="0.25">
      <c r="A41" s="351" t="s">
        <v>151</v>
      </c>
      <c r="B41" s="336" t="s">
        <v>266</v>
      </c>
      <c r="C41" s="354" t="s">
        <v>267</v>
      </c>
      <c r="D41" s="337" t="s">
        <v>203</v>
      </c>
      <c r="E41" s="177" t="s">
        <v>203</v>
      </c>
      <c r="F41" s="177" t="s">
        <v>203</v>
      </c>
      <c r="G41" s="177" t="s">
        <v>203</v>
      </c>
      <c r="H41" s="177" t="s">
        <v>203</v>
      </c>
      <c r="I41" s="177" t="s">
        <v>203</v>
      </c>
      <c r="J41" s="177" t="s">
        <v>203</v>
      </c>
      <c r="K41" s="380" t="b">
        <f>IF('Invul- en verrekenblad'!B6="ja",IF('Invul- en verrekenblad'!B14=1,IF(OR(Variabelen!D21="ja",Variabelen!D22="ja"),Variabelen!D23,0)))</f>
        <v>0</v>
      </c>
      <c r="L41" s="404" t="s">
        <v>268</v>
      </c>
      <c r="M41" s="412">
        <f>Gegevensblad!M43</f>
        <v>450.91039134764281</v>
      </c>
      <c r="N41" s="388">
        <f t="shared" si="1"/>
        <v>0</v>
      </c>
      <c r="O41" s="377"/>
    </row>
    <row r="42" spans="1:18" ht="23.25" thickBot="1" x14ac:dyDescent="0.3">
      <c r="A42" s="355" t="s">
        <v>153</v>
      </c>
      <c r="B42" s="356" t="s">
        <v>154</v>
      </c>
      <c r="C42" s="356" t="s">
        <v>269</v>
      </c>
      <c r="D42" s="357" t="s">
        <v>203</v>
      </c>
      <c r="E42" s="218"/>
      <c r="F42" s="218"/>
      <c r="G42" s="218"/>
      <c r="H42" s="218"/>
      <c r="I42" s="218"/>
      <c r="J42" s="218"/>
      <c r="K42" s="357" t="b">
        <f>IF('Invul- en verrekenblad'!B14=1,IF(Variabelen!D24="ja",1,0))</f>
        <v>0</v>
      </c>
      <c r="L42" s="390" t="s">
        <v>235</v>
      </c>
      <c r="M42" s="390">
        <f>Variabelen!$L$24</f>
        <v>0</v>
      </c>
      <c r="N42" s="388">
        <f t="shared" si="1"/>
        <v>0</v>
      </c>
      <c r="O42" s="377"/>
    </row>
    <row r="43" spans="1:18" ht="84" thickBot="1" x14ac:dyDescent="0.25">
      <c r="A43" s="329">
        <v>6</v>
      </c>
      <c r="B43" s="330" t="s">
        <v>155</v>
      </c>
      <c r="C43" s="327"/>
      <c r="D43" s="331" t="s">
        <v>88</v>
      </c>
      <c r="E43" s="170" t="s">
        <v>117</v>
      </c>
      <c r="F43" s="170" t="s">
        <v>118</v>
      </c>
      <c r="G43" s="171" t="s">
        <v>119</v>
      </c>
      <c r="H43" s="171" t="s">
        <v>120</v>
      </c>
      <c r="I43" s="172" t="s">
        <v>121</v>
      </c>
      <c r="J43" s="172" t="s">
        <v>122</v>
      </c>
      <c r="K43" s="372"/>
      <c r="L43" s="372" t="s">
        <v>188</v>
      </c>
      <c r="M43" s="410" t="str">
        <f>Gegevensblad!M45</f>
        <v>Prijs per eenheid (€)</v>
      </c>
      <c r="N43" s="385"/>
      <c r="O43" s="386"/>
    </row>
    <row r="44" spans="1:18" x14ac:dyDescent="0.25">
      <c r="A44" s="346" t="s">
        <v>270</v>
      </c>
      <c r="B44" s="333" t="s">
        <v>271</v>
      </c>
      <c r="C44" s="333" t="s">
        <v>272</v>
      </c>
      <c r="D44" s="334" t="s">
        <v>194</v>
      </c>
      <c r="E44" s="149" t="s">
        <v>115</v>
      </c>
      <c r="F44" s="149" t="s">
        <v>115</v>
      </c>
      <c r="G44" s="149" t="s">
        <v>194</v>
      </c>
      <c r="H44" s="149" t="s">
        <v>194</v>
      </c>
      <c r="I44" s="149" t="s">
        <v>194</v>
      </c>
      <c r="J44" s="149" t="s">
        <v>194</v>
      </c>
      <c r="K44" s="403"/>
      <c r="L44" s="375" t="s">
        <v>217</v>
      </c>
      <c r="M44" s="412">
        <f>Gegevensblad!M46</f>
        <v>0</v>
      </c>
      <c r="N44" s="387">
        <f t="shared" ref="N44:N49" si="2">K44*M44</f>
        <v>0</v>
      </c>
      <c r="O44" s="377"/>
    </row>
    <row r="45" spans="1:18" ht="22.5" x14ac:dyDescent="0.25">
      <c r="A45" s="351" t="s">
        <v>156</v>
      </c>
      <c r="B45" s="336" t="s">
        <v>157</v>
      </c>
      <c r="C45" s="336" t="s">
        <v>273</v>
      </c>
      <c r="D45" s="337" t="s">
        <v>194</v>
      </c>
      <c r="E45" s="177" t="s">
        <v>203</v>
      </c>
      <c r="F45" s="177" t="s">
        <v>203</v>
      </c>
      <c r="G45" s="133" t="s">
        <v>203</v>
      </c>
      <c r="H45" s="133" t="s">
        <v>115</v>
      </c>
      <c r="I45" s="133" t="s">
        <v>115</v>
      </c>
      <c r="J45" s="133" t="s">
        <v>115</v>
      </c>
      <c r="K45" s="404"/>
      <c r="L45" s="380" t="s">
        <v>217</v>
      </c>
      <c r="M45" s="412">
        <f>Gegevensblad!M47</f>
        <v>129.6367375124473</v>
      </c>
      <c r="N45" s="388">
        <f t="shared" si="2"/>
        <v>0</v>
      </c>
      <c r="O45" s="377"/>
    </row>
    <row r="46" spans="1:18" ht="22.5" x14ac:dyDescent="0.25">
      <c r="A46" s="351" t="s">
        <v>158</v>
      </c>
      <c r="B46" s="336" t="s">
        <v>159</v>
      </c>
      <c r="C46" s="336" t="s">
        <v>274</v>
      </c>
      <c r="D46" s="337" t="s">
        <v>194</v>
      </c>
      <c r="E46" s="133" t="s">
        <v>194</v>
      </c>
      <c r="F46" s="133" t="s">
        <v>194</v>
      </c>
      <c r="G46" s="133" t="s">
        <v>194</v>
      </c>
      <c r="H46" s="177" t="s">
        <v>203</v>
      </c>
      <c r="I46" s="133" t="s">
        <v>194</v>
      </c>
      <c r="J46" s="177" t="s">
        <v>203</v>
      </c>
      <c r="K46" s="404"/>
      <c r="L46" s="393" t="s">
        <v>235</v>
      </c>
      <c r="M46" s="412">
        <f>Gegevensblad!M48</f>
        <v>0</v>
      </c>
      <c r="N46" s="388">
        <f t="shared" si="2"/>
        <v>0</v>
      </c>
      <c r="O46" s="377"/>
    </row>
    <row r="47" spans="1:18" ht="22.5" x14ac:dyDescent="0.25">
      <c r="A47" s="351" t="s">
        <v>160</v>
      </c>
      <c r="B47" s="336" t="s">
        <v>275</v>
      </c>
      <c r="C47" s="336" t="s">
        <v>276</v>
      </c>
      <c r="D47" s="337" t="s">
        <v>203</v>
      </c>
      <c r="E47" s="177" t="s">
        <v>203</v>
      </c>
      <c r="F47" s="177" t="s">
        <v>203</v>
      </c>
      <c r="G47" s="177" t="s">
        <v>203</v>
      </c>
      <c r="H47" s="177" t="s">
        <v>203</v>
      </c>
      <c r="I47" s="177" t="s">
        <v>203</v>
      </c>
      <c r="J47" s="177" t="s">
        <v>203</v>
      </c>
      <c r="K47" s="380" t="b">
        <f>IF('Invul- en verrekenblad'!B14=1,IF(Variabelen!D28="ja",Variabelen!L28,0))</f>
        <v>0</v>
      </c>
      <c r="L47" s="380" t="s">
        <v>162</v>
      </c>
      <c r="M47" s="412">
        <f>Gegevensblad!M49</f>
        <v>5.0727419026609821</v>
      </c>
      <c r="N47" s="388">
        <f t="shared" si="2"/>
        <v>0</v>
      </c>
      <c r="O47" s="377"/>
    </row>
    <row r="48" spans="1:18" ht="22.5" x14ac:dyDescent="0.25">
      <c r="A48" s="351" t="s">
        <v>163</v>
      </c>
      <c r="B48" s="336" t="s">
        <v>164</v>
      </c>
      <c r="C48" s="336" t="s">
        <v>277</v>
      </c>
      <c r="D48" s="337" t="s">
        <v>194</v>
      </c>
      <c r="E48" s="177" t="s">
        <v>203</v>
      </c>
      <c r="F48" s="177" t="s">
        <v>203</v>
      </c>
      <c r="G48" s="177" t="s">
        <v>203</v>
      </c>
      <c r="H48" s="177" t="s">
        <v>203</v>
      </c>
      <c r="I48" s="177" t="s">
        <v>203</v>
      </c>
      <c r="J48" s="177" t="s">
        <v>203</v>
      </c>
      <c r="K48" s="404"/>
      <c r="L48" s="393" t="s">
        <v>235</v>
      </c>
      <c r="M48" s="412">
        <f>Gegevensblad!M50</f>
        <v>0</v>
      </c>
      <c r="N48" s="388">
        <f t="shared" si="2"/>
        <v>0</v>
      </c>
      <c r="O48" s="377"/>
    </row>
    <row r="49" spans="1:15" ht="12" thickBot="1" x14ac:dyDescent="0.3">
      <c r="A49" s="349" t="s">
        <v>278</v>
      </c>
      <c r="B49" s="343" t="s">
        <v>279</v>
      </c>
      <c r="C49" s="343" t="s">
        <v>280</v>
      </c>
      <c r="D49" s="344" t="s">
        <v>194</v>
      </c>
      <c r="E49" s="148" t="s">
        <v>115</v>
      </c>
      <c r="F49" s="148" t="s">
        <v>115</v>
      </c>
      <c r="G49" s="148" t="s">
        <v>115</v>
      </c>
      <c r="H49" s="148" t="s">
        <v>115</v>
      </c>
      <c r="I49" s="148" t="s">
        <v>115</v>
      </c>
      <c r="J49" s="148" t="s">
        <v>115</v>
      </c>
      <c r="K49" s="405"/>
      <c r="L49" s="357" t="s">
        <v>281</v>
      </c>
      <c r="M49" s="412">
        <f>Gegevensblad!M51</f>
        <v>38.9967033767063</v>
      </c>
      <c r="N49" s="391">
        <f t="shared" si="2"/>
        <v>0</v>
      </c>
      <c r="O49" s="377"/>
    </row>
    <row r="50" spans="1:15" ht="84" thickBot="1" x14ac:dyDescent="0.25">
      <c r="A50" s="329">
        <v>7</v>
      </c>
      <c r="B50" s="330" t="s">
        <v>165</v>
      </c>
      <c r="C50" s="327"/>
      <c r="D50" s="331" t="s">
        <v>88</v>
      </c>
      <c r="E50" s="170" t="s">
        <v>117</v>
      </c>
      <c r="F50" s="170" t="s">
        <v>118</v>
      </c>
      <c r="G50" s="171" t="s">
        <v>119</v>
      </c>
      <c r="H50" s="171" t="s">
        <v>120</v>
      </c>
      <c r="I50" s="172" t="s">
        <v>121</v>
      </c>
      <c r="J50" s="172" t="s">
        <v>122</v>
      </c>
      <c r="K50" s="372"/>
      <c r="L50" s="372" t="s">
        <v>188</v>
      </c>
      <c r="M50" s="410" t="str">
        <f>Gegevensblad!M52</f>
        <v>Prijs per eenheid (€)</v>
      </c>
      <c r="N50" s="385"/>
      <c r="O50" s="386"/>
    </row>
    <row r="51" spans="1:15" x14ac:dyDescent="0.25">
      <c r="A51" s="346" t="s">
        <v>282</v>
      </c>
      <c r="B51" s="333" t="s">
        <v>283</v>
      </c>
      <c r="C51" s="333" t="s">
        <v>284</v>
      </c>
      <c r="D51" s="334" t="s">
        <v>194</v>
      </c>
      <c r="E51" s="149" t="s">
        <v>115</v>
      </c>
      <c r="F51" s="149" t="s">
        <v>115</v>
      </c>
      <c r="G51" s="149" t="s">
        <v>115</v>
      </c>
      <c r="H51" s="149" t="s">
        <v>115</v>
      </c>
      <c r="I51" s="149" t="s">
        <v>115</v>
      </c>
      <c r="J51" s="149" t="s">
        <v>115</v>
      </c>
      <c r="K51" s="403"/>
      <c r="L51" s="375" t="s">
        <v>217</v>
      </c>
      <c r="M51" s="409">
        <f>Gegevensblad!M53</f>
        <v>15.218225707982945</v>
      </c>
      <c r="N51" s="387">
        <f>K51*M51</f>
        <v>0</v>
      </c>
      <c r="O51" s="377"/>
    </row>
    <row r="52" spans="1:15" ht="22.5" x14ac:dyDescent="0.25">
      <c r="A52" s="351" t="s">
        <v>166</v>
      </c>
      <c r="B52" s="336" t="s">
        <v>167</v>
      </c>
      <c r="C52" s="336" t="s">
        <v>285</v>
      </c>
      <c r="D52" s="337" t="s">
        <v>194</v>
      </c>
      <c r="E52" s="177" t="s">
        <v>203</v>
      </c>
      <c r="F52" s="133" t="s">
        <v>115</v>
      </c>
      <c r="G52" s="177" t="s">
        <v>203</v>
      </c>
      <c r="H52" s="133" t="s">
        <v>115</v>
      </c>
      <c r="I52" s="177" t="s">
        <v>203</v>
      </c>
      <c r="J52" s="133" t="s">
        <v>115</v>
      </c>
      <c r="K52" s="404"/>
      <c r="L52" s="380" t="s">
        <v>217</v>
      </c>
      <c r="M52" s="409">
        <f>Gegevensblad!M54</f>
        <v>18.036415653905713</v>
      </c>
      <c r="N52" s="388">
        <f>K52*M52</f>
        <v>0</v>
      </c>
      <c r="O52" s="377"/>
    </row>
    <row r="53" spans="1:15" ht="22.5" x14ac:dyDescent="0.25">
      <c r="A53" s="351" t="s">
        <v>168</v>
      </c>
      <c r="B53" s="336" t="s">
        <v>169</v>
      </c>
      <c r="C53" s="336" t="s">
        <v>286</v>
      </c>
      <c r="D53" s="337" t="s">
        <v>194</v>
      </c>
      <c r="E53" s="177" t="s">
        <v>203</v>
      </c>
      <c r="F53" s="177" t="s">
        <v>203</v>
      </c>
      <c r="G53" s="177" t="s">
        <v>203</v>
      </c>
      <c r="H53" s="177" t="s">
        <v>203</v>
      </c>
      <c r="I53" s="177" t="s">
        <v>203</v>
      </c>
      <c r="J53" s="177" t="s">
        <v>203</v>
      </c>
      <c r="K53" s="404"/>
      <c r="L53" s="393" t="s">
        <v>235</v>
      </c>
      <c r="M53" s="409">
        <f>Gegevensblad!M55</f>
        <v>0</v>
      </c>
      <c r="N53" s="388">
        <f>K53*M53</f>
        <v>0</v>
      </c>
      <c r="O53" s="377"/>
    </row>
    <row r="54" spans="1:15" ht="23.25" thickBot="1" x14ac:dyDescent="0.3">
      <c r="A54" s="348" t="s">
        <v>170</v>
      </c>
      <c r="B54" s="343" t="s">
        <v>171</v>
      </c>
      <c r="C54" s="343" t="s">
        <v>287</v>
      </c>
      <c r="D54" s="344" t="s">
        <v>194</v>
      </c>
      <c r="E54" s="148" t="s">
        <v>194</v>
      </c>
      <c r="F54" s="148" t="s">
        <v>194</v>
      </c>
      <c r="G54" s="148" t="s">
        <v>194</v>
      </c>
      <c r="H54" s="148" t="s">
        <v>194</v>
      </c>
      <c r="I54" s="148" t="s">
        <v>194</v>
      </c>
      <c r="J54" s="188" t="s">
        <v>203</v>
      </c>
      <c r="K54" s="405"/>
      <c r="L54" s="390" t="s">
        <v>235</v>
      </c>
      <c r="M54" s="409">
        <f>Gegevensblad!M56</f>
        <v>0</v>
      </c>
      <c r="N54" s="391">
        <f>K54*M54</f>
        <v>0</v>
      </c>
      <c r="O54" s="377"/>
    </row>
    <row r="55" spans="1:15" ht="84" thickBot="1" x14ac:dyDescent="0.3">
      <c r="A55" s="329">
        <v>8</v>
      </c>
      <c r="B55" s="330" t="s">
        <v>288</v>
      </c>
      <c r="C55" s="330"/>
      <c r="D55" s="331" t="s">
        <v>88</v>
      </c>
      <c r="E55" s="170" t="s">
        <v>117</v>
      </c>
      <c r="F55" s="170" t="s">
        <v>118</v>
      </c>
      <c r="G55" s="171" t="s">
        <v>119</v>
      </c>
      <c r="H55" s="171" t="s">
        <v>120</v>
      </c>
      <c r="I55" s="172" t="s">
        <v>121</v>
      </c>
      <c r="J55" s="172" t="s">
        <v>122</v>
      </c>
      <c r="K55" s="372"/>
      <c r="L55" s="372" t="s">
        <v>188</v>
      </c>
      <c r="M55" s="410" t="str">
        <f>Gegevensblad!M57</f>
        <v>Prijs per eenheid (€)</v>
      </c>
      <c r="N55" s="385"/>
      <c r="O55" s="386"/>
    </row>
    <row r="56" spans="1:15" ht="56.25" x14ac:dyDescent="0.25">
      <c r="A56" s="346" t="s">
        <v>289</v>
      </c>
      <c r="B56" s="333" t="s">
        <v>290</v>
      </c>
      <c r="C56" s="353" t="s">
        <v>291</v>
      </c>
      <c r="D56" s="334" t="s">
        <v>115</v>
      </c>
      <c r="E56" s="149" t="s">
        <v>194</v>
      </c>
      <c r="F56" s="149" t="s">
        <v>194</v>
      </c>
      <c r="G56" s="149" t="s">
        <v>194</v>
      </c>
      <c r="H56" s="149" t="s">
        <v>194</v>
      </c>
      <c r="I56" s="149" t="s">
        <v>194</v>
      </c>
      <c r="J56" s="149" t="s">
        <v>194</v>
      </c>
      <c r="K56" s="375">
        <f>IF(('Invul- en verrekenblad'!B15+'Invul- en verrekenblad'!B16+'Invul- en verrekenblad'!B17+'Invul- en verrekenblad'!B18+'Invul- en verrekenblad'!B19+'Invul- en verrekenblad'!B20)&gt;0,0,'Invul- en verrekenblad'!B14)</f>
        <v>0</v>
      </c>
      <c r="L56" s="375" t="s">
        <v>292</v>
      </c>
      <c r="M56" s="409">
        <f>Gegevensblad!M58</f>
        <v>111.44175191793592</v>
      </c>
      <c r="N56" s="387">
        <f t="shared" ref="N56:N62" si="3">K56*M56</f>
        <v>0</v>
      </c>
      <c r="O56" s="377"/>
    </row>
    <row r="57" spans="1:15" ht="22.5" x14ac:dyDescent="0.25">
      <c r="A57" s="347" t="s">
        <v>293</v>
      </c>
      <c r="B57" s="336" t="s">
        <v>294</v>
      </c>
      <c r="C57" s="354" t="s">
        <v>295</v>
      </c>
      <c r="D57" s="338" t="s">
        <v>115</v>
      </c>
      <c r="E57" s="177" t="s">
        <v>115</v>
      </c>
      <c r="F57" s="177" t="s">
        <v>115</v>
      </c>
      <c r="G57" s="177" t="s">
        <v>115</v>
      </c>
      <c r="H57" s="177" t="s">
        <v>115</v>
      </c>
      <c r="I57" s="177" t="s">
        <v>115</v>
      </c>
      <c r="J57" s="177" t="s">
        <v>115</v>
      </c>
      <c r="K57" s="380" t="b">
        <f>IF('Invul- en verrekenblad'!B6="ja",IF('Invul- en verrekenblad'!B14=1,1,0))</f>
        <v>0</v>
      </c>
      <c r="L57" s="380" t="s">
        <v>292</v>
      </c>
      <c r="M57" s="409">
        <f>Gegevensblad!M59</f>
        <v>696.51094948709942</v>
      </c>
      <c r="N57" s="388">
        <f>K57*M57</f>
        <v>0</v>
      </c>
      <c r="O57" s="377"/>
    </row>
    <row r="58" spans="1:15" ht="45" x14ac:dyDescent="0.25">
      <c r="A58" s="351" t="s">
        <v>173</v>
      </c>
      <c r="B58" s="336" t="s">
        <v>174</v>
      </c>
      <c r="C58" s="354" t="s">
        <v>296</v>
      </c>
      <c r="D58" s="338" t="s">
        <v>203</v>
      </c>
      <c r="E58" s="177" t="s">
        <v>203</v>
      </c>
      <c r="F58" s="177" t="s">
        <v>203</v>
      </c>
      <c r="G58" s="177" t="s">
        <v>203</v>
      </c>
      <c r="H58" s="177" t="s">
        <v>203</v>
      </c>
      <c r="I58" s="177" t="s">
        <v>203</v>
      </c>
      <c r="J58" s="177" t="s">
        <v>203</v>
      </c>
      <c r="K58" s="380" t="b">
        <f>IF('Invul- en verrekenblad'!B14=1,IF('Invul- en verrekenblad'!B6="ja",IF(Variabelen!D35="ja",1,0)))</f>
        <v>0</v>
      </c>
      <c r="L58" s="393" t="s">
        <v>235</v>
      </c>
      <c r="M58" s="392">
        <f>Variabelen!$L$35</f>
        <v>0</v>
      </c>
      <c r="N58" s="388">
        <f>K58*M58</f>
        <v>0</v>
      </c>
      <c r="O58" s="377"/>
    </row>
    <row r="59" spans="1:15" ht="45" x14ac:dyDescent="0.25">
      <c r="A59" s="351" t="s">
        <v>175</v>
      </c>
      <c r="B59" s="336" t="s">
        <v>176</v>
      </c>
      <c r="C59" s="354" t="s">
        <v>296</v>
      </c>
      <c r="D59" s="338" t="s">
        <v>203</v>
      </c>
      <c r="E59" s="177" t="s">
        <v>203</v>
      </c>
      <c r="F59" s="177" t="s">
        <v>203</v>
      </c>
      <c r="G59" s="177" t="s">
        <v>203</v>
      </c>
      <c r="H59" s="177" t="s">
        <v>203</v>
      </c>
      <c r="I59" s="177" t="s">
        <v>203</v>
      </c>
      <c r="J59" s="177" t="s">
        <v>203</v>
      </c>
      <c r="K59" s="380" t="b">
        <f>IF('Invul- en verrekenblad'!B14=1,IF('Invul- en verrekenblad'!B6="ja",IF(Variabelen!D36="ja",1,0)))</f>
        <v>0</v>
      </c>
      <c r="L59" s="393" t="s">
        <v>235</v>
      </c>
      <c r="M59" s="392">
        <f>Variabelen!$L$36</f>
        <v>0</v>
      </c>
      <c r="N59" s="388">
        <f t="shared" si="3"/>
        <v>0</v>
      </c>
      <c r="O59" s="377"/>
    </row>
    <row r="60" spans="1:15" ht="33.75" x14ac:dyDescent="0.25">
      <c r="A60" s="351" t="s">
        <v>177</v>
      </c>
      <c r="B60" s="336" t="s">
        <v>297</v>
      </c>
      <c r="C60" s="354" t="s">
        <v>298</v>
      </c>
      <c r="D60" s="338" t="s">
        <v>203</v>
      </c>
      <c r="E60" s="177" t="s">
        <v>203</v>
      </c>
      <c r="F60" s="177" t="s">
        <v>203</v>
      </c>
      <c r="G60" s="177" t="s">
        <v>203</v>
      </c>
      <c r="H60" s="177" t="s">
        <v>203</v>
      </c>
      <c r="I60" s="177" t="s">
        <v>203</v>
      </c>
      <c r="J60" s="177" t="s">
        <v>203</v>
      </c>
      <c r="K60" s="380" t="b">
        <f>IF('Invul- en verrekenblad'!B14=1,IF('Invul- en verrekenblad'!B6="ja",IF(Variabelen!D37="ja",1,0)))</f>
        <v>0</v>
      </c>
      <c r="L60" s="380" t="s">
        <v>292</v>
      </c>
      <c r="M60" s="409">
        <f>Gegevensblad!M62</f>
        <v>55.720875958967959</v>
      </c>
      <c r="N60" s="388">
        <f t="shared" si="3"/>
        <v>0</v>
      </c>
      <c r="O60" s="377"/>
    </row>
    <row r="61" spans="1:15" ht="33.75" x14ac:dyDescent="0.25">
      <c r="A61" s="351" t="s">
        <v>179</v>
      </c>
      <c r="B61" s="336" t="s">
        <v>299</v>
      </c>
      <c r="C61" s="354" t="s">
        <v>300</v>
      </c>
      <c r="D61" s="338" t="s">
        <v>203</v>
      </c>
      <c r="E61" s="177" t="s">
        <v>203</v>
      </c>
      <c r="F61" s="177" t="s">
        <v>203</v>
      </c>
      <c r="G61" s="177" t="s">
        <v>203</v>
      </c>
      <c r="H61" s="177" t="s">
        <v>203</v>
      </c>
      <c r="I61" s="177" t="s">
        <v>203</v>
      </c>
      <c r="J61" s="177" t="s">
        <v>203</v>
      </c>
      <c r="K61" s="380" t="b">
        <f>IF('Invul- en verrekenblad'!B14=1,IF('Invul- en verrekenblad'!B6="ja",IF(Variabelen!D38="ja",1,0)))</f>
        <v>0</v>
      </c>
      <c r="L61" s="380" t="s">
        <v>292</v>
      </c>
      <c r="M61" s="409">
        <f>Gegevensblad!M63</f>
        <v>111.44175191793592</v>
      </c>
      <c r="N61" s="388">
        <f t="shared" si="3"/>
        <v>0</v>
      </c>
      <c r="O61" s="377"/>
    </row>
    <row r="62" spans="1:15" ht="23.25" thickBot="1" x14ac:dyDescent="0.3">
      <c r="A62" s="348" t="s">
        <v>181</v>
      </c>
      <c r="B62" s="343" t="s">
        <v>301</v>
      </c>
      <c r="C62" s="356" t="s">
        <v>302</v>
      </c>
      <c r="D62" s="358" t="s">
        <v>203</v>
      </c>
      <c r="E62" s="148" t="s">
        <v>194</v>
      </c>
      <c r="F62" s="148" t="s">
        <v>194</v>
      </c>
      <c r="G62" s="148" t="s">
        <v>194</v>
      </c>
      <c r="H62" s="148" t="s">
        <v>194</v>
      </c>
      <c r="I62" s="148" t="s">
        <v>194</v>
      </c>
      <c r="J62" s="148" t="s">
        <v>194</v>
      </c>
      <c r="K62" s="357" t="b">
        <f>IF('Invul- en verrekenblad'!B14=1,IF('Invul- en verrekenblad'!B6="ja",IF(Variabelen!D39="ja",Variabelen!L39,0)))</f>
        <v>0</v>
      </c>
      <c r="L62" s="357" t="s">
        <v>303</v>
      </c>
      <c r="M62" s="409">
        <f>Gegevensblad!M64</f>
        <v>428.10847288998912</v>
      </c>
      <c r="N62" s="391">
        <f t="shared" si="3"/>
        <v>0</v>
      </c>
      <c r="O62" s="377"/>
    </row>
    <row r="63" spans="1:15" ht="84" thickBot="1" x14ac:dyDescent="0.25">
      <c r="A63" s="329">
        <v>9</v>
      </c>
      <c r="B63" s="330" t="s">
        <v>304</v>
      </c>
      <c r="C63" s="327"/>
      <c r="D63" s="331" t="s">
        <v>88</v>
      </c>
      <c r="E63" s="170" t="s">
        <v>117</v>
      </c>
      <c r="F63" s="170" t="s">
        <v>118</v>
      </c>
      <c r="G63" s="171" t="s">
        <v>119</v>
      </c>
      <c r="H63" s="171" t="s">
        <v>120</v>
      </c>
      <c r="I63" s="172" t="s">
        <v>121</v>
      </c>
      <c r="J63" s="172" t="s">
        <v>122</v>
      </c>
      <c r="K63" s="372"/>
      <c r="L63" s="372" t="s">
        <v>188</v>
      </c>
      <c r="M63" s="410" t="str">
        <f>Gegevensblad!M65</f>
        <v>Prijs per eenheid (€)</v>
      </c>
      <c r="N63" s="385"/>
      <c r="O63" s="386"/>
    </row>
    <row r="64" spans="1:15" ht="22.5" x14ac:dyDescent="0.25">
      <c r="A64" s="346" t="s">
        <v>305</v>
      </c>
      <c r="B64" s="333" t="s">
        <v>306</v>
      </c>
      <c r="C64" s="333" t="s">
        <v>307</v>
      </c>
      <c r="D64" s="334" t="s">
        <v>194</v>
      </c>
      <c r="E64" s="149" t="s">
        <v>194</v>
      </c>
      <c r="F64" s="149" t="s">
        <v>194</v>
      </c>
      <c r="G64" s="149" t="s">
        <v>115</v>
      </c>
      <c r="H64" s="149" t="s">
        <v>115</v>
      </c>
      <c r="I64" s="149" t="s">
        <v>115</v>
      </c>
      <c r="J64" s="149" t="s">
        <v>115</v>
      </c>
      <c r="K64" s="407"/>
      <c r="L64" s="396" t="s">
        <v>308</v>
      </c>
      <c r="M64" s="409">
        <f>Gegevensblad!M66</f>
        <v>50.727419026609816</v>
      </c>
      <c r="N64" s="387"/>
      <c r="O64" s="377"/>
    </row>
    <row r="65" spans="1:14" ht="23.25" thickBot="1" x14ac:dyDescent="0.3">
      <c r="A65" s="359" t="s">
        <v>309</v>
      </c>
      <c r="B65" s="360" t="s">
        <v>310</v>
      </c>
      <c r="C65" s="360" t="s">
        <v>311</v>
      </c>
      <c r="D65" s="361" t="s">
        <v>194</v>
      </c>
      <c r="E65" s="145" t="s">
        <v>115</v>
      </c>
      <c r="F65" s="145" t="s">
        <v>115</v>
      </c>
      <c r="G65" s="145" t="s">
        <v>115</v>
      </c>
      <c r="H65" s="145" t="s">
        <v>115</v>
      </c>
      <c r="I65" s="145" t="s">
        <v>115</v>
      </c>
      <c r="J65" s="145" t="s">
        <v>115</v>
      </c>
      <c r="K65" s="408"/>
      <c r="L65" s="397" t="s">
        <v>308</v>
      </c>
      <c r="M65" s="409">
        <f>Gegevensblad!M67</f>
        <v>108.36954890453575</v>
      </c>
      <c r="N65" s="398"/>
    </row>
    <row r="66" spans="1:14" ht="15.75" x14ac:dyDescent="0.25">
      <c r="D66" s="363" t="s">
        <v>115</v>
      </c>
      <c r="E66" s="209" t="s">
        <v>115</v>
      </c>
      <c r="F66" s="209" t="s">
        <v>115</v>
      </c>
      <c r="G66" s="209" t="s">
        <v>115</v>
      </c>
      <c r="H66" s="209" t="s">
        <v>115</v>
      </c>
      <c r="I66" s="209" t="s">
        <v>115</v>
      </c>
      <c r="J66" s="209" t="s">
        <v>115</v>
      </c>
      <c r="N66" s="402">
        <f>SUBTOTAL(9,N10:N65)</f>
        <v>0</v>
      </c>
    </row>
  </sheetData>
  <sheetProtection algorithmName="SHA-512" hashValue="QMk+RgSEQIXpMpRUNYu6CJRJNP21S7GWphyaw0bjPxzRP5KP5UdSc6SenxnSLq4f1BSdo7beNumCBCP79ibBoA==" saltValue="32h/cWvzrIp/K+CXiriM4A==" spinCount="100000" sheet="1" selectLockedCells="1"/>
  <autoFilter ref="D9:J66" xr:uid="{00000000-0009-0000-0000-000003000000}">
    <filterColumn colId="0">
      <filters>
        <filter val="Alleen MBA Graven TU"/>
        <filter val="ja"/>
        <filter val="optie"/>
      </filters>
    </filterColumn>
  </autoFilter>
  <mergeCells count="1">
    <mergeCell ref="L8:M8"/>
  </mergeCells>
  <conditionalFormatting sqref="D42">
    <cfRule type="containsText" dxfId="110" priority="1" operator="containsText" text="nee">
      <formula>NOT(ISERROR(SEARCH("nee",D42)))</formula>
    </cfRule>
    <cfRule type="containsText" dxfId="109" priority="2" operator="containsText" text="optie">
      <formula>NOT(ISERROR(SEARCH("optie",D42)))</formula>
    </cfRule>
    <cfRule type="containsText" dxfId="108" priority="3" operator="containsText" text="ja">
      <formula>NOT(ISERROR(SEARCH("ja",D42)))</formula>
    </cfRule>
  </conditionalFormatting>
  <conditionalFormatting sqref="D10:J16">
    <cfRule type="containsText" dxfId="107" priority="4" operator="containsText" text="nee">
      <formula>NOT(ISERROR(SEARCH("nee",D10)))</formula>
    </cfRule>
    <cfRule type="containsText" dxfId="106" priority="5" operator="containsText" text="optie">
      <formula>NOT(ISERROR(SEARCH("optie",D10)))</formula>
    </cfRule>
    <cfRule type="containsText" dxfId="105" priority="6" operator="containsText" text="ja">
      <formula>NOT(ISERROR(SEARCH("ja",D10)))</formula>
    </cfRule>
  </conditionalFormatting>
  <conditionalFormatting sqref="D33:J41 E42:J43">
    <cfRule type="containsText" dxfId="104" priority="13" operator="containsText" text="nee">
      <formula>NOT(ISERROR(SEARCH("nee",D33)))</formula>
    </cfRule>
    <cfRule type="containsText" dxfId="103" priority="14" operator="containsText" text="optie">
      <formula>NOT(ISERROR(SEARCH("optie",D33)))</formula>
    </cfRule>
    <cfRule type="containsText" dxfId="102" priority="15" operator="containsText" text="ja">
      <formula>NOT(ISERROR(SEARCH("ja",D33)))</formula>
    </cfRule>
  </conditionalFormatting>
  <conditionalFormatting sqref="D44:J49">
    <cfRule type="containsText" dxfId="101" priority="7" operator="containsText" text="nee">
      <formula>NOT(ISERROR(SEARCH("nee",D44)))</formula>
    </cfRule>
    <cfRule type="containsText" dxfId="100" priority="8" operator="containsText" text="optie">
      <formula>NOT(ISERROR(SEARCH("optie",D44)))</formula>
    </cfRule>
    <cfRule type="containsText" dxfId="99" priority="9" operator="containsText" text="ja">
      <formula>NOT(ISERROR(SEARCH("ja",D44)))</formula>
    </cfRule>
  </conditionalFormatting>
  <conditionalFormatting sqref="E17:J17 D18:J24 E25:J25 D26:J27 E28:J28 D29:J31 E32:J32 E50:J50 D51:J54 E55:J55 D56:J62 E63:J63 D64:J65">
    <cfRule type="containsText" dxfId="98" priority="25" operator="containsText" text="nee">
      <formula>NOT(ISERROR(SEARCH("nee",D17)))</formula>
    </cfRule>
    <cfRule type="containsText" dxfId="97" priority="26" operator="containsText" text="optie">
      <formula>NOT(ISERROR(SEARCH("optie",D17)))</formula>
    </cfRule>
    <cfRule type="containsText" dxfId="96" priority="27" operator="containsText" text="ja">
      <formula>NOT(ISERROR(SEARCH("ja",D17)))</formula>
    </cfRule>
  </conditionalFormatting>
  <pageMargins left="0.25" right="0.25" top="0.75" bottom="0.75" header="0.3" footer="0.3"/>
  <pageSetup paperSize="8"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6">
    <tabColor rgb="FFFFC000"/>
    <pageSetUpPr fitToPage="1"/>
  </sheetPr>
  <dimension ref="A1:O70"/>
  <sheetViews>
    <sheetView showGridLines="0" zoomScale="130" zoomScaleNormal="130" workbookViewId="0">
      <pane xSplit="2" ySplit="8" topLeftCell="C9" activePane="bottomRight" state="frozen"/>
      <selection pane="topRight" activeCell="U28" sqref="U28"/>
      <selection pane="bottomLeft" activeCell="U28" sqref="U28"/>
      <selection pane="bottomRight" activeCell="C3" sqref="C3"/>
    </sheetView>
  </sheetViews>
  <sheetFormatPr defaultColWidth="8.7109375" defaultRowHeight="11.25" outlineLevelCol="1" x14ac:dyDescent="0.25"/>
  <cols>
    <col min="1" max="1" width="12.7109375" style="378" customWidth="1"/>
    <col min="2" max="2" width="38.5703125" style="378" customWidth="1"/>
    <col min="3" max="3" width="45.5703125" style="378" customWidth="1"/>
    <col min="4" max="4" width="3.7109375" style="378" hidden="1" customWidth="1" outlineLevel="1"/>
    <col min="5" max="5" width="3.7109375" style="378" customWidth="1" outlineLevel="1"/>
    <col min="6" max="10" width="3.7109375" style="378" hidden="1" customWidth="1" outlineLevel="1"/>
    <col min="11" max="12" width="9.7109375" style="400" customWidth="1"/>
    <col min="13" max="13" width="10.42578125" style="411" customWidth="1"/>
    <col min="14" max="14" width="13.7109375" style="401" bestFit="1" customWidth="1"/>
    <col min="15" max="15" width="8.42578125" style="399" customWidth="1"/>
    <col min="16" max="16384" width="8.7109375" style="378"/>
  </cols>
  <sheetData>
    <row r="1" spans="1:15" s="365" customFormat="1" ht="24" customHeight="1" x14ac:dyDescent="0.35">
      <c r="A1" s="318" t="s">
        <v>66</v>
      </c>
      <c r="B1" s="318"/>
      <c r="C1" s="318"/>
      <c r="D1" s="318"/>
      <c r="E1" s="318"/>
      <c r="F1" s="318"/>
      <c r="G1" s="318"/>
      <c r="H1" s="318"/>
      <c r="I1" s="318"/>
      <c r="J1" s="318"/>
      <c r="K1" s="318"/>
      <c r="L1" s="275"/>
      <c r="M1" s="275"/>
      <c r="N1" s="318"/>
      <c r="O1" s="364"/>
    </row>
    <row r="2" spans="1:15" s="366" customFormat="1" x14ac:dyDescent="0.25">
      <c r="A2" s="319" t="s">
        <v>114</v>
      </c>
      <c r="L2" s="413"/>
      <c r="M2" s="414"/>
      <c r="N2" s="367"/>
    </row>
    <row r="3" spans="1:15" s="366" customFormat="1" ht="12.75" x14ac:dyDescent="0.25">
      <c r="A3" s="366" t="s">
        <v>72</v>
      </c>
      <c r="B3" s="320" t="str" cm="1">
        <f t="array" ref="B3:C3">'Invul- en verrekenblad'!E5:F5</f>
        <v>CROW400 Definitief versie 1.3 - 2026</v>
      </c>
      <c r="C3" s="366">
        <v>0</v>
      </c>
      <c r="L3" s="413"/>
      <c r="M3" s="414"/>
      <c r="N3" s="367"/>
    </row>
    <row r="4" spans="1:15" s="366" customFormat="1" ht="13.9" customHeight="1" x14ac:dyDescent="0.25">
      <c r="A4" s="366" t="s">
        <v>74</v>
      </c>
      <c r="B4" s="422">
        <f>'Invul- en verrekenblad'!E6</f>
        <v>46119</v>
      </c>
      <c r="L4" s="413"/>
      <c r="M4" s="414"/>
      <c r="N4" s="367"/>
    </row>
    <row r="5" spans="1:15" s="366" customFormat="1" x14ac:dyDescent="0.25">
      <c r="A5" s="366" t="s">
        <v>76</v>
      </c>
      <c r="B5" s="322" t="str">
        <f>'Invul- en verrekenblad'!E7</f>
        <v>Alliander SRM Sourcing - Contractmanagement Aannemerij</v>
      </c>
      <c r="L5" s="413"/>
      <c r="M5" s="414"/>
      <c r="N5" s="367"/>
    </row>
    <row r="6" spans="1:15" s="366" customFormat="1" ht="18.75" x14ac:dyDescent="0.3">
      <c r="B6" s="423" t="s">
        <v>312</v>
      </c>
      <c r="C6" s="422"/>
      <c r="L6" s="413"/>
      <c r="M6" s="414"/>
      <c r="N6" s="367"/>
    </row>
    <row r="7" spans="1:15" s="365" customFormat="1" ht="12" thickBot="1" x14ac:dyDescent="0.25">
      <c r="C7" s="424"/>
      <c r="L7" s="276"/>
      <c r="M7" s="279"/>
      <c r="N7" s="369"/>
    </row>
    <row r="8" spans="1:15" s="365" customFormat="1" ht="23.25" customHeight="1" thickBot="1" x14ac:dyDescent="0.25">
      <c r="A8" s="425" t="s">
        <v>184</v>
      </c>
      <c r="B8" s="426" t="s">
        <v>185</v>
      </c>
      <c r="C8" s="426" t="s">
        <v>186</v>
      </c>
      <c r="D8" s="491"/>
      <c r="E8" s="491"/>
      <c r="F8" s="491"/>
      <c r="G8" s="491"/>
      <c r="H8" s="491"/>
      <c r="I8" s="491"/>
      <c r="J8" s="491"/>
      <c r="K8" s="328"/>
      <c r="L8" s="492"/>
      <c r="M8" s="492"/>
      <c r="N8" s="370"/>
      <c r="O8" s="371"/>
    </row>
    <row r="9" spans="1:15" s="365" customFormat="1" ht="51" customHeight="1" thickBot="1" x14ac:dyDescent="0.25">
      <c r="A9" s="427">
        <v>1</v>
      </c>
      <c r="B9" s="330" t="s">
        <v>124</v>
      </c>
      <c r="C9" s="327"/>
      <c r="D9" s="428" t="s">
        <v>313</v>
      </c>
      <c r="E9" s="429" t="s">
        <v>117</v>
      </c>
      <c r="F9" s="429" t="s">
        <v>118</v>
      </c>
      <c r="G9" s="430" t="s">
        <v>119</v>
      </c>
      <c r="H9" s="430" t="s">
        <v>120</v>
      </c>
      <c r="I9" s="431" t="s">
        <v>121</v>
      </c>
      <c r="J9" s="431" t="s">
        <v>122</v>
      </c>
      <c r="K9" s="372" t="s">
        <v>187</v>
      </c>
      <c r="L9" s="410" t="s">
        <v>188</v>
      </c>
      <c r="M9" s="415" t="s">
        <v>189</v>
      </c>
      <c r="N9" s="373" t="s">
        <v>190</v>
      </c>
      <c r="O9" s="374"/>
    </row>
    <row r="10" spans="1:15" s="379" customFormat="1" ht="33.75" x14ac:dyDescent="0.2">
      <c r="A10" s="432" t="s">
        <v>191</v>
      </c>
      <c r="B10" s="353" t="s">
        <v>192</v>
      </c>
      <c r="C10" s="353" t="s">
        <v>193</v>
      </c>
      <c r="D10" s="375" t="s">
        <v>194</v>
      </c>
      <c r="E10" s="375" t="s">
        <v>115</v>
      </c>
      <c r="F10" s="375" t="s">
        <v>115</v>
      </c>
      <c r="G10" s="375" t="s">
        <v>115</v>
      </c>
      <c r="H10" s="375" t="s">
        <v>115</v>
      </c>
      <c r="I10" s="375" t="s">
        <v>115</v>
      </c>
      <c r="J10" s="375" t="s">
        <v>115</v>
      </c>
      <c r="K10" s="375">
        <f>IF(('Invul- en verrekenblad'!B16+'Invul- en verrekenblad'!B17+'Invul- en verrekenblad'!B18+'Invul- en verrekenblad'!B19+'Invul- en verrekenblad'!B20)&gt;0,0,'Invul- en verrekenblad'!B15)</f>
        <v>0</v>
      </c>
      <c r="L10" s="403" t="s">
        <v>195</v>
      </c>
      <c r="M10" s="416">
        <f>Gegevensblad!M10</f>
        <v>788.15229749355558</v>
      </c>
      <c r="N10" s="376">
        <f>IF('Invul- en verrekenblad'!B5="1.1  Aansluitingen + Net",K10*M10,0)</f>
        <v>0</v>
      </c>
      <c r="O10" s="377"/>
    </row>
    <row r="11" spans="1:15" s="379" customFormat="1" ht="33.75" x14ac:dyDescent="0.2">
      <c r="A11" s="433" t="s">
        <v>196</v>
      </c>
      <c r="B11" s="354" t="s">
        <v>197</v>
      </c>
      <c r="C11" s="354" t="s">
        <v>193</v>
      </c>
      <c r="D11" s="380" t="s">
        <v>194</v>
      </c>
      <c r="E11" s="380" t="s">
        <v>115</v>
      </c>
      <c r="F11" s="380" t="s">
        <v>115</v>
      </c>
      <c r="G11" s="380" t="s">
        <v>115</v>
      </c>
      <c r="H11" s="380" t="s">
        <v>115</v>
      </c>
      <c r="I11" s="380" t="s">
        <v>115</v>
      </c>
      <c r="J11" s="380" t="s">
        <v>115</v>
      </c>
      <c r="K11" s="380">
        <f>IF(('Invul- en verrekenblad'!B16+'Invul- en verrekenblad'!B17+'Invul- en verrekenblad'!B18+'Invul- en verrekenblad'!B19+'Invul- en verrekenblad'!B20)&gt;0,0,'Invul- en verrekenblad'!B15)</f>
        <v>0</v>
      </c>
      <c r="L11" s="404" t="s">
        <v>195</v>
      </c>
      <c r="M11" s="461">
        <f>Gegevensblad!M11</f>
        <v>685.99735823544768</v>
      </c>
      <c r="N11" s="381">
        <f>IF('Invul- en verrekenblad'!B5="1.1a Aansluitingen",K11*M11,0)</f>
        <v>0</v>
      </c>
    </row>
    <row r="12" spans="1:15" s="379" customFormat="1" ht="33.75" x14ac:dyDescent="0.2">
      <c r="A12" s="433" t="s">
        <v>198</v>
      </c>
      <c r="B12" s="354" t="s">
        <v>199</v>
      </c>
      <c r="C12" s="354" t="s">
        <v>193</v>
      </c>
      <c r="D12" s="380" t="s">
        <v>194</v>
      </c>
      <c r="E12" s="380" t="s">
        <v>115</v>
      </c>
      <c r="F12" s="380" t="s">
        <v>115</v>
      </c>
      <c r="G12" s="380" t="s">
        <v>115</v>
      </c>
      <c r="H12" s="380" t="s">
        <v>115</v>
      </c>
      <c r="I12" s="380" t="s">
        <v>115</v>
      </c>
      <c r="J12" s="380" t="s">
        <v>115</v>
      </c>
      <c r="K12" s="380">
        <f>IF(('Invul- en verrekenblad'!B16+'Invul- en verrekenblad'!B17+'Invul- en verrekenblad'!B18+'Invul- en verrekenblad'!B19+'Invul- en verrekenblad'!B20)&gt;0,0,'Invul- en verrekenblad'!B15)</f>
        <v>0</v>
      </c>
      <c r="L12" s="404" t="s">
        <v>195</v>
      </c>
      <c r="M12" s="461">
        <f>Gegevensblad!M12</f>
        <v>903.01067714958174</v>
      </c>
      <c r="N12" s="381">
        <f>IF('Invul- en verrekenblad'!B5="1.1b Net",K12*M12,0)</f>
        <v>0</v>
      </c>
      <c r="O12" s="382"/>
    </row>
    <row r="13" spans="1:15" s="379" customFormat="1" ht="33.75" x14ac:dyDescent="0.2">
      <c r="A13" s="433" t="s">
        <v>200</v>
      </c>
      <c r="B13" s="354" t="s">
        <v>201</v>
      </c>
      <c r="C13" s="354" t="s">
        <v>202</v>
      </c>
      <c r="D13" s="380" t="s">
        <v>194</v>
      </c>
      <c r="E13" s="434" t="s">
        <v>203</v>
      </c>
      <c r="F13" s="434" t="s">
        <v>203</v>
      </c>
      <c r="G13" s="434" t="s">
        <v>203</v>
      </c>
      <c r="H13" s="434" t="s">
        <v>203</v>
      </c>
      <c r="I13" s="434" t="s">
        <v>203</v>
      </c>
      <c r="J13" s="434" t="s">
        <v>203</v>
      </c>
      <c r="K13" s="380" t="b">
        <f>IF(('Invul- en verrekenblad'!B16+'Invul- en verrekenblad'!B17+'Invul- en verrekenblad'!B18+'Invul- en verrekenblad'!B19+'Invul- en verrekenblad'!B20)&gt;0,0,IF('Invul- en verrekenblad'!B15=1,IF(Variabelen!E9="ja",1,0)))</f>
        <v>0</v>
      </c>
      <c r="L13" s="404" t="s">
        <v>195</v>
      </c>
      <c r="M13" s="461">
        <f>Gegevensblad!M13</f>
        <v>13.93021898974199</v>
      </c>
      <c r="N13" s="381">
        <f>IF('Invul- en verrekenblad'!B5="1.1  Aansluitingen + Net",K13*M13,0)</f>
        <v>0</v>
      </c>
      <c r="O13" s="382"/>
    </row>
    <row r="14" spans="1:15" s="379" customFormat="1" ht="33.75" x14ac:dyDescent="0.2">
      <c r="A14" s="433" t="s">
        <v>314</v>
      </c>
      <c r="B14" s="354" t="s">
        <v>201</v>
      </c>
      <c r="C14" s="354" t="s">
        <v>202</v>
      </c>
      <c r="D14" s="380" t="s">
        <v>194</v>
      </c>
      <c r="E14" s="434" t="s">
        <v>203</v>
      </c>
      <c r="F14" s="434" t="s">
        <v>203</v>
      </c>
      <c r="G14" s="434" t="s">
        <v>203</v>
      </c>
      <c r="H14" s="434" t="s">
        <v>203</v>
      </c>
      <c r="I14" s="434" t="s">
        <v>203</v>
      </c>
      <c r="J14" s="434" t="s">
        <v>203</v>
      </c>
      <c r="K14" s="380" t="b">
        <f>IF(('Invul- en verrekenblad'!B16+'Invul- en verrekenblad'!B17+'Invul- en verrekenblad'!B18+'Invul- en verrekenblad'!B19+'Invul- en verrekenblad'!B20)&gt;0,0,IF('Invul- en verrekenblad'!B15=1,IF(Variabelen!E9="ja",1,0)))</f>
        <v>0</v>
      </c>
      <c r="L14" s="404" t="s">
        <v>195</v>
      </c>
      <c r="M14" s="461">
        <f>Gegevensblad!M14</f>
        <v>0</v>
      </c>
      <c r="N14" s="381">
        <f>IF('Invul- en verrekenblad'!B5="1.1a Aansluitingen",K14*M14,0)</f>
        <v>0</v>
      </c>
      <c r="O14" s="382"/>
    </row>
    <row r="15" spans="1:15" s="379" customFormat="1" ht="33.75" x14ac:dyDescent="0.2">
      <c r="A15" s="433" t="s">
        <v>315</v>
      </c>
      <c r="B15" s="354" t="s">
        <v>201</v>
      </c>
      <c r="C15" s="354" t="s">
        <v>202</v>
      </c>
      <c r="D15" s="380" t="s">
        <v>194</v>
      </c>
      <c r="E15" s="434" t="s">
        <v>203</v>
      </c>
      <c r="F15" s="434" t="s">
        <v>203</v>
      </c>
      <c r="G15" s="434" t="s">
        <v>203</v>
      </c>
      <c r="H15" s="434" t="s">
        <v>203</v>
      </c>
      <c r="I15" s="434" t="s">
        <v>203</v>
      </c>
      <c r="J15" s="434" t="s">
        <v>203</v>
      </c>
      <c r="K15" s="380" t="b">
        <f>IF(('Invul- en verrekenblad'!B16+'Invul- en verrekenblad'!B17+'Invul- en verrekenblad'!B18+'Invul- en verrekenblad'!B19+'Invul- en verrekenblad'!B20)&gt;0,0,IF('Invul- en verrekenblad'!B15=1,IF(Variabelen!E9="ja",1,0)))</f>
        <v>0</v>
      </c>
      <c r="L15" s="404" t="s">
        <v>195</v>
      </c>
      <c r="M15" s="461">
        <f>Gegevensblad!M15</f>
        <v>27.860437979483979</v>
      </c>
      <c r="N15" s="381">
        <f>IF('Invul- en verrekenblad'!B5="1.1b Net",K15*M15,0)</f>
        <v>0</v>
      </c>
      <c r="O15" s="382"/>
    </row>
    <row r="16" spans="1:15" s="379" customFormat="1" ht="33.75" x14ac:dyDescent="0.2">
      <c r="A16" s="435" t="s">
        <v>204</v>
      </c>
      <c r="B16" s="354" t="s">
        <v>205</v>
      </c>
      <c r="C16" s="436" t="s">
        <v>206</v>
      </c>
      <c r="D16" s="380" t="s">
        <v>194</v>
      </c>
      <c r="E16" s="380" t="s">
        <v>115</v>
      </c>
      <c r="F16" s="380" t="s">
        <v>115</v>
      </c>
      <c r="G16" s="380" t="s">
        <v>115</v>
      </c>
      <c r="H16" s="380" t="s">
        <v>115</v>
      </c>
      <c r="I16" s="380" t="s">
        <v>115</v>
      </c>
      <c r="J16" s="380" t="s">
        <v>207</v>
      </c>
      <c r="K16" s="380">
        <f>IF(('Invul- en verrekenblad'!B16+'Invul- en verrekenblad'!B17+'Invul- en verrekenblad'!B18+'Invul- en verrekenblad'!B19+'Invul- en verrekenblad'!B20)&gt;0,0,'Invul- en verrekenblad'!B15)</f>
        <v>0</v>
      </c>
      <c r="L16" s="404" t="s">
        <v>195</v>
      </c>
      <c r="M16" s="461">
        <f>Gegevensblad!M16</f>
        <v>297.67270594861179</v>
      </c>
      <c r="N16" s="381">
        <f>K16*M16</f>
        <v>0</v>
      </c>
      <c r="O16" s="383"/>
    </row>
    <row r="17" spans="1:15" ht="56.25" x14ac:dyDescent="0.2">
      <c r="A17" s="435" t="s">
        <v>208</v>
      </c>
      <c r="B17" s="354" t="s">
        <v>209</v>
      </c>
      <c r="C17" s="437" t="s">
        <v>210</v>
      </c>
      <c r="D17" s="380" t="s">
        <v>194</v>
      </c>
      <c r="E17" s="380" t="s">
        <v>194</v>
      </c>
      <c r="F17" s="380" t="s">
        <v>194</v>
      </c>
      <c r="G17" s="380" t="s">
        <v>115</v>
      </c>
      <c r="H17" s="380" t="s">
        <v>115</v>
      </c>
      <c r="I17" s="380" t="s">
        <v>115</v>
      </c>
      <c r="J17" s="380" t="s">
        <v>207</v>
      </c>
      <c r="K17" s="404"/>
      <c r="L17" s="404" t="s">
        <v>195</v>
      </c>
      <c r="M17" s="461">
        <f>Gegevensblad!M17</f>
        <v>222.88350383587184</v>
      </c>
      <c r="N17" s="458">
        <f>K17*M17</f>
        <v>0</v>
      </c>
      <c r="O17" s="377"/>
    </row>
    <row r="18" spans="1:15" ht="23.25" thickBot="1" x14ac:dyDescent="0.25">
      <c r="A18" s="438" t="s">
        <v>211</v>
      </c>
      <c r="B18" s="356" t="s">
        <v>212</v>
      </c>
      <c r="C18" s="356" t="s">
        <v>213</v>
      </c>
      <c r="D18" s="357" t="s">
        <v>194</v>
      </c>
      <c r="E18" s="357" t="s">
        <v>194</v>
      </c>
      <c r="F18" s="357" t="s">
        <v>194</v>
      </c>
      <c r="G18" s="357" t="s">
        <v>115</v>
      </c>
      <c r="H18" s="357" t="s">
        <v>115</v>
      </c>
      <c r="I18" s="357" t="s">
        <v>115</v>
      </c>
      <c r="J18" s="357" t="s">
        <v>115</v>
      </c>
      <c r="K18" s="405"/>
      <c r="L18" s="405" t="s">
        <v>195</v>
      </c>
      <c r="M18" s="462">
        <f>Gegevensblad!M18</f>
        <v>118.65161551936055</v>
      </c>
      <c r="N18" s="459">
        <f>K18*M18</f>
        <v>0</v>
      </c>
      <c r="O18" s="377"/>
    </row>
    <row r="19" spans="1:15" ht="47.25" thickBot="1" x14ac:dyDescent="0.25">
      <c r="A19" s="439">
        <v>2</v>
      </c>
      <c r="B19" s="330" t="s">
        <v>127</v>
      </c>
      <c r="C19" s="327"/>
      <c r="D19" s="428" t="s">
        <v>313</v>
      </c>
      <c r="E19" s="429" t="s">
        <v>117</v>
      </c>
      <c r="F19" s="429" t="s">
        <v>118</v>
      </c>
      <c r="G19" s="430" t="s">
        <v>119</v>
      </c>
      <c r="H19" s="430" t="s">
        <v>120</v>
      </c>
      <c r="I19" s="431" t="s">
        <v>121</v>
      </c>
      <c r="J19" s="431" t="s">
        <v>122</v>
      </c>
      <c r="K19" s="372"/>
      <c r="L19" s="410" t="s">
        <v>188</v>
      </c>
      <c r="M19" s="415" t="str">
        <f>Gegevensblad!M19</f>
        <v>Subtotaal Mensen</v>
      </c>
      <c r="N19" s="385"/>
      <c r="O19" s="386"/>
    </row>
    <row r="20" spans="1:15" ht="33.75" x14ac:dyDescent="0.25">
      <c r="A20" s="440" t="s">
        <v>214</v>
      </c>
      <c r="B20" s="353" t="s">
        <v>215</v>
      </c>
      <c r="C20" s="353" t="s">
        <v>216</v>
      </c>
      <c r="D20" s="375" t="s">
        <v>194</v>
      </c>
      <c r="E20" s="441" t="s">
        <v>115</v>
      </c>
      <c r="F20" s="441" t="s">
        <v>115</v>
      </c>
      <c r="G20" s="441" t="s">
        <v>115</v>
      </c>
      <c r="H20" s="375" t="s">
        <v>194</v>
      </c>
      <c r="I20" s="375" t="s">
        <v>194</v>
      </c>
      <c r="J20" s="375" t="s">
        <v>194</v>
      </c>
      <c r="K20" s="375">
        <f>'Invul- en verrekenblad'!C15</f>
        <v>0</v>
      </c>
      <c r="L20" s="403" t="s">
        <v>217</v>
      </c>
      <c r="M20" s="409">
        <f>Gegevensblad!M20</f>
        <v>811.64024501280403</v>
      </c>
      <c r="N20" s="387">
        <f t="shared" ref="N20:N26" si="0">K20*M20</f>
        <v>0</v>
      </c>
      <c r="O20" s="377"/>
    </row>
    <row r="21" spans="1:15" ht="33.75" x14ac:dyDescent="0.25">
      <c r="A21" s="442" t="s">
        <v>218</v>
      </c>
      <c r="B21" s="354" t="s">
        <v>219</v>
      </c>
      <c r="C21" s="354" t="s">
        <v>220</v>
      </c>
      <c r="D21" s="380" t="s">
        <v>194</v>
      </c>
      <c r="E21" s="380" t="s">
        <v>194</v>
      </c>
      <c r="F21" s="380" t="s">
        <v>194</v>
      </c>
      <c r="G21" s="380" t="s">
        <v>194</v>
      </c>
      <c r="H21" s="443" t="s">
        <v>115</v>
      </c>
      <c r="I21" s="443" t="s">
        <v>115</v>
      </c>
      <c r="J21" s="443" t="s">
        <v>115</v>
      </c>
      <c r="K21" s="404"/>
      <c r="L21" s="404" t="s">
        <v>217</v>
      </c>
      <c r="M21" s="412">
        <f>Gegevensblad!M21</f>
        <v>811.64024501280403</v>
      </c>
      <c r="N21" s="457">
        <f t="shared" si="0"/>
        <v>0</v>
      </c>
      <c r="O21" s="377"/>
    </row>
    <row r="22" spans="1:15" ht="33.75" x14ac:dyDescent="0.25">
      <c r="A22" s="442" t="s">
        <v>221</v>
      </c>
      <c r="B22" s="354" t="s">
        <v>222</v>
      </c>
      <c r="C22" s="354" t="s">
        <v>223</v>
      </c>
      <c r="D22" s="380" t="s">
        <v>194</v>
      </c>
      <c r="E22" s="380" t="s">
        <v>115</v>
      </c>
      <c r="F22" s="380" t="s">
        <v>194</v>
      </c>
      <c r="G22" s="380" t="s">
        <v>194</v>
      </c>
      <c r="H22" s="443" t="s">
        <v>115</v>
      </c>
      <c r="I22" s="443" t="s">
        <v>115</v>
      </c>
      <c r="J22" s="443" t="s">
        <v>115</v>
      </c>
      <c r="K22" s="380">
        <f>'Invul- en verrekenblad'!C15</f>
        <v>0</v>
      </c>
      <c r="L22" s="404" t="s">
        <v>217</v>
      </c>
      <c r="M22" s="412">
        <f>Gegevensblad!M22</f>
        <v>0</v>
      </c>
      <c r="N22" s="388">
        <f t="shared" si="0"/>
        <v>0</v>
      </c>
      <c r="O22" s="377"/>
    </row>
    <row r="23" spans="1:15" ht="33.75" x14ac:dyDescent="0.25">
      <c r="A23" s="442" t="s">
        <v>224</v>
      </c>
      <c r="B23" s="354" t="s">
        <v>225</v>
      </c>
      <c r="C23" s="354" t="s">
        <v>226</v>
      </c>
      <c r="D23" s="380" t="s">
        <v>194</v>
      </c>
      <c r="E23" s="380" t="s">
        <v>194</v>
      </c>
      <c r="F23" s="380" t="s">
        <v>194</v>
      </c>
      <c r="G23" s="380" t="s">
        <v>194</v>
      </c>
      <c r="H23" s="443" t="s">
        <v>115</v>
      </c>
      <c r="I23" s="443" t="s">
        <v>115</v>
      </c>
      <c r="J23" s="443" t="s">
        <v>115</v>
      </c>
      <c r="K23" s="404"/>
      <c r="L23" s="404" t="s">
        <v>217</v>
      </c>
      <c r="M23" s="412">
        <f>Gegevensblad!M23</f>
        <v>0</v>
      </c>
      <c r="N23" s="457">
        <f t="shared" si="0"/>
        <v>0</v>
      </c>
      <c r="O23" s="377"/>
    </row>
    <row r="24" spans="1:15" ht="33.75" x14ac:dyDescent="0.25">
      <c r="A24" s="442" t="s">
        <v>227</v>
      </c>
      <c r="B24" s="354" t="s">
        <v>228</v>
      </c>
      <c r="C24" s="354" t="s">
        <v>229</v>
      </c>
      <c r="D24" s="380" t="s">
        <v>194</v>
      </c>
      <c r="E24" s="380" t="s">
        <v>115</v>
      </c>
      <c r="F24" s="443" t="s">
        <v>115</v>
      </c>
      <c r="G24" s="443" t="s">
        <v>115</v>
      </c>
      <c r="H24" s="380" t="s">
        <v>194</v>
      </c>
      <c r="I24" s="380" t="s">
        <v>194</v>
      </c>
      <c r="J24" s="380" t="s">
        <v>194</v>
      </c>
      <c r="K24" s="380">
        <f>'Invul- en verrekenblad'!C15</f>
        <v>0</v>
      </c>
      <c r="L24" s="404" t="s">
        <v>217</v>
      </c>
      <c r="M24" s="412">
        <f>Gegevensblad!M24</f>
        <v>49.661587741513571</v>
      </c>
      <c r="N24" s="388">
        <f t="shared" si="0"/>
        <v>0</v>
      </c>
      <c r="O24" s="377"/>
    </row>
    <row r="25" spans="1:15" ht="45" x14ac:dyDescent="0.25">
      <c r="A25" s="442" t="s">
        <v>230</v>
      </c>
      <c r="B25" s="354" t="s">
        <v>231</v>
      </c>
      <c r="C25" s="354" t="s">
        <v>232</v>
      </c>
      <c r="D25" s="380" t="s">
        <v>194</v>
      </c>
      <c r="E25" s="380" t="s">
        <v>194</v>
      </c>
      <c r="F25" s="380" t="s">
        <v>194</v>
      </c>
      <c r="G25" s="380" t="s">
        <v>194</v>
      </c>
      <c r="H25" s="443" t="s">
        <v>115</v>
      </c>
      <c r="I25" s="443" t="s">
        <v>115</v>
      </c>
      <c r="J25" s="443" t="s">
        <v>115</v>
      </c>
      <c r="K25" s="404"/>
      <c r="L25" s="404" t="s">
        <v>217</v>
      </c>
      <c r="M25" s="412">
        <f>Gegevensblad!M25</f>
        <v>60.976513910007291</v>
      </c>
      <c r="N25" s="457">
        <f t="shared" si="0"/>
        <v>0</v>
      </c>
      <c r="O25" s="377"/>
    </row>
    <row r="26" spans="1:15" ht="57.6" customHeight="1" thickBot="1" x14ac:dyDescent="0.3">
      <c r="A26" s="444" t="s">
        <v>128</v>
      </c>
      <c r="B26" s="356" t="s">
        <v>233</v>
      </c>
      <c r="C26" s="356" t="s">
        <v>316</v>
      </c>
      <c r="D26" s="357" t="s">
        <v>194</v>
      </c>
      <c r="E26" s="445" t="s">
        <v>203</v>
      </c>
      <c r="F26" s="445" t="s">
        <v>203</v>
      </c>
      <c r="G26" s="445" t="s">
        <v>203</v>
      </c>
      <c r="H26" s="445" t="s">
        <v>203</v>
      </c>
      <c r="I26" s="445" t="s">
        <v>203</v>
      </c>
      <c r="J26" s="445" t="s">
        <v>203</v>
      </c>
      <c r="K26" s="357" t="b">
        <f>IF('Invul- en verrekenblad'!B15=1,IF(Variabelen!E11="ja",1,0))</f>
        <v>0</v>
      </c>
      <c r="L26" s="389" t="s">
        <v>235</v>
      </c>
      <c r="M26" s="390">
        <f>Variabelen!$L$11</f>
        <v>0</v>
      </c>
      <c r="N26" s="391">
        <f t="shared" si="0"/>
        <v>0</v>
      </c>
      <c r="O26" s="377"/>
    </row>
    <row r="27" spans="1:15" ht="47.25" thickBot="1" x14ac:dyDescent="0.25">
      <c r="A27" s="439">
        <v>3</v>
      </c>
      <c r="B27" s="330" t="s">
        <v>236</v>
      </c>
      <c r="C27" s="327"/>
      <c r="D27" s="428" t="s">
        <v>313</v>
      </c>
      <c r="E27" s="429" t="s">
        <v>117</v>
      </c>
      <c r="F27" s="429" t="s">
        <v>118</v>
      </c>
      <c r="G27" s="430" t="s">
        <v>119</v>
      </c>
      <c r="H27" s="430" t="s">
        <v>120</v>
      </c>
      <c r="I27" s="431" t="s">
        <v>121</v>
      </c>
      <c r="J27" s="431" t="s">
        <v>122</v>
      </c>
      <c r="K27" s="372"/>
      <c r="L27" s="372" t="s">
        <v>188</v>
      </c>
      <c r="M27" s="415" t="str">
        <f>Gegevensblad!M27</f>
        <v>Prijs per eenheid (€)</v>
      </c>
      <c r="N27" s="385"/>
      <c r="O27" s="386"/>
    </row>
    <row r="28" spans="1:15" ht="67.5" x14ac:dyDescent="0.25">
      <c r="A28" s="440" t="s">
        <v>237</v>
      </c>
      <c r="B28" s="353" t="s">
        <v>238</v>
      </c>
      <c r="C28" s="353" t="s">
        <v>239</v>
      </c>
      <c r="D28" s="375" t="s">
        <v>194</v>
      </c>
      <c r="E28" s="375" t="s">
        <v>115</v>
      </c>
      <c r="F28" s="375" t="s">
        <v>115</v>
      </c>
      <c r="G28" s="441" t="s">
        <v>115</v>
      </c>
      <c r="H28" s="375" t="s">
        <v>194</v>
      </c>
      <c r="I28" s="375" t="s">
        <v>194</v>
      </c>
      <c r="J28" s="375" t="s">
        <v>194</v>
      </c>
      <c r="K28" s="375">
        <f>IF(('Invul- en verrekenblad'!B16+'Invul- en verrekenblad'!B17+'Invul- en verrekenblad'!B18+'Invul- en verrekenblad'!B19+'Invul- en verrekenblad'!B20)&gt;0,0,'Invul- en verrekenblad'!B15)</f>
        <v>0</v>
      </c>
      <c r="L28" s="375" t="s">
        <v>195</v>
      </c>
      <c r="M28" s="409">
        <f>Gegevensblad!M28</f>
        <v>620.76984676891959</v>
      </c>
      <c r="N28" s="387">
        <f>K28*M28</f>
        <v>0</v>
      </c>
      <c r="O28" s="377"/>
    </row>
    <row r="29" spans="1:15" ht="82.15" customHeight="1" thickBot="1" x14ac:dyDescent="0.3">
      <c r="A29" s="355" t="s">
        <v>240</v>
      </c>
      <c r="B29" s="356" t="s">
        <v>241</v>
      </c>
      <c r="C29" s="356" t="s">
        <v>242</v>
      </c>
      <c r="D29" s="357" t="s">
        <v>194</v>
      </c>
      <c r="E29" s="357" t="s">
        <v>194</v>
      </c>
      <c r="F29" s="357" t="s">
        <v>194</v>
      </c>
      <c r="G29" s="357" t="s">
        <v>194</v>
      </c>
      <c r="H29" s="445" t="s">
        <v>115</v>
      </c>
      <c r="I29" s="445" t="s">
        <v>115</v>
      </c>
      <c r="J29" s="445" t="s">
        <v>115</v>
      </c>
      <c r="K29" s="405"/>
      <c r="L29" s="357" t="s">
        <v>195</v>
      </c>
      <c r="M29" s="419">
        <f>Gegevensblad!M29</f>
        <v>762.2064238750911</v>
      </c>
      <c r="N29" s="455">
        <f>K29*M29</f>
        <v>0</v>
      </c>
      <c r="O29" s="377"/>
    </row>
    <row r="30" spans="1:15" ht="47.25" thickBot="1" x14ac:dyDescent="0.25">
      <c r="A30" s="427">
        <v>4</v>
      </c>
      <c r="B30" s="330" t="s">
        <v>131</v>
      </c>
      <c r="C30" s="327"/>
      <c r="D30" s="428" t="s">
        <v>313</v>
      </c>
      <c r="E30" s="429" t="s">
        <v>117</v>
      </c>
      <c r="F30" s="429" t="s">
        <v>118</v>
      </c>
      <c r="G30" s="430" t="s">
        <v>119</v>
      </c>
      <c r="H30" s="430" t="s">
        <v>120</v>
      </c>
      <c r="I30" s="431" t="s">
        <v>121</v>
      </c>
      <c r="J30" s="431" t="s">
        <v>122</v>
      </c>
      <c r="K30" s="372"/>
      <c r="L30" s="372" t="s">
        <v>188</v>
      </c>
      <c r="M30" s="415" t="str">
        <f>Gegevensblad!M30</f>
        <v>Prijs per eenheid (€)</v>
      </c>
      <c r="N30" s="385"/>
      <c r="O30" s="386"/>
    </row>
    <row r="31" spans="1:15" ht="45" x14ac:dyDescent="0.25">
      <c r="A31" s="446" t="s">
        <v>132</v>
      </c>
      <c r="B31" s="353" t="s">
        <v>133</v>
      </c>
      <c r="C31" s="353" t="s">
        <v>243</v>
      </c>
      <c r="D31" s="375" t="s">
        <v>194</v>
      </c>
      <c r="E31" s="375" t="s">
        <v>194</v>
      </c>
      <c r="F31" s="375" t="s">
        <v>203</v>
      </c>
      <c r="G31" s="375" t="s">
        <v>194</v>
      </c>
      <c r="H31" s="375" t="s">
        <v>203</v>
      </c>
      <c r="I31" s="375" t="s">
        <v>194</v>
      </c>
      <c r="J31" s="375" t="s">
        <v>203</v>
      </c>
      <c r="K31" s="403"/>
      <c r="L31" s="392" t="s">
        <v>235</v>
      </c>
      <c r="M31" s="418">
        <f>Variabelen!$L$13</f>
        <v>0</v>
      </c>
      <c r="N31" s="456">
        <f>K31*M31</f>
        <v>0</v>
      </c>
      <c r="O31" s="377"/>
    </row>
    <row r="32" spans="1:15" ht="45" x14ac:dyDescent="0.25">
      <c r="A32" s="447" t="s">
        <v>134</v>
      </c>
      <c r="B32" s="354" t="s">
        <v>135</v>
      </c>
      <c r="C32" s="354" t="s">
        <v>243</v>
      </c>
      <c r="D32" s="380" t="s">
        <v>194</v>
      </c>
      <c r="E32" s="380" t="s">
        <v>194</v>
      </c>
      <c r="F32" s="380" t="s">
        <v>203</v>
      </c>
      <c r="G32" s="380" t="s">
        <v>194</v>
      </c>
      <c r="H32" s="380" t="s">
        <v>203</v>
      </c>
      <c r="I32" s="380" t="s">
        <v>194</v>
      </c>
      <c r="J32" s="380" t="s">
        <v>203</v>
      </c>
      <c r="K32" s="404"/>
      <c r="L32" s="393" t="s">
        <v>235</v>
      </c>
      <c r="M32" s="421">
        <f>Variabelen!$L$14</f>
        <v>0</v>
      </c>
      <c r="N32" s="457">
        <f>K32*M32</f>
        <v>0</v>
      </c>
      <c r="O32" s="377"/>
    </row>
    <row r="33" spans="1:15" ht="19.149999999999999" customHeight="1" thickBot="1" x14ac:dyDescent="0.3">
      <c r="A33" s="444" t="s">
        <v>136</v>
      </c>
      <c r="B33" s="356" t="s">
        <v>137</v>
      </c>
      <c r="C33" s="356" t="s">
        <v>244</v>
      </c>
      <c r="D33" s="357" t="s">
        <v>194</v>
      </c>
      <c r="E33" s="357" t="s">
        <v>194</v>
      </c>
      <c r="F33" s="357" t="s">
        <v>203</v>
      </c>
      <c r="G33" s="357" t="s">
        <v>194</v>
      </c>
      <c r="H33" s="357" t="s">
        <v>203</v>
      </c>
      <c r="I33" s="357" t="s">
        <v>194</v>
      </c>
      <c r="J33" s="357" t="s">
        <v>203</v>
      </c>
      <c r="K33" s="405"/>
      <c r="L33" s="390" t="s">
        <v>235</v>
      </c>
      <c r="M33" s="418">
        <f>Variabelen!$L$15</f>
        <v>0</v>
      </c>
      <c r="N33" s="455">
        <f>K33*M33</f>
        <v>0</v>
      </c>
      <c r="O33" s="377"/>
    </row>
    <row r="34" spans="1:15" ht="48.75" customHeight="1" thickBot="1" x14ac:dyDescent="0.3">
      <c r="A34" s="427">
        <v>5</v>
      </c>
      <c r="B34" s="493" t="s">
        <v>245</v>
      </c>
      <c r="C34" s="493"/>
      <c r="D34" s="428" t="s">
        <v>313</v>
      </c>
      <c r="E34" s="429" t="s">
        <v>117</v>
      </c>
      <c r="F34" s="429" t="s">
        <v>118</v>
      </c>
      <c r="G34" s="430" t="s">
        <v>119</v>
      </c>
      <c r="H34" s="430" t="s">
        <v>120</v>
      </c>
      <c r="I34" s="431" t="s">
        <v>121</v>
      </c>
      <c r="J34" s="431" t="s">
        <v>122</v>
      </c>
      <c r="K34" s="372"/>
      <c r="L34" s="372" t="s">
        <v>188</v>
      </c>
      <c r="M34" s="415" t="str">
        <f>Gegevensblad!M34</f>
        <v>Prijs per eenheid (€)</v>
      </c>
      <c r="N34" s="385"/>
      <c r="O34" s="386"/>
    </row>
    <row r="35" spans="1:15" ht="33.75" x14ac:dyDescent="0.25">
      <c r="A35" s="440" t="s">
        <v>246</v>
      </c>
      <c r="B35" s="353" t="s">
        <v>247</v>
      </c>
      <c r="C35" s="353" t="s">
        <v>248</v>
      </c>
      <c r="D35" s="375" t="s">
        <v>115</v>
      </c>
      <c r="E35" s="375" t="s">
        <v>115</v>
      </c>
      <c r="F35" s="375" t="s">
        <v>115</v>
      </c>
      <c r="G35" s="375" t="s">
        <v>115</v>
      </c>
      <c r="H35" s="375" t="s">
        <v>115</v>
      </c>
      <c r="I35" s="375" t="s">
        <v>115</v>
      </c>
      <c r="J35" s="375" t="s">
        <v>115</v>
      </c>
      <c r="K35" s="375">
        <f>'Invul- en verrekenblad'!C15</f>
        <v>0</v>
      </c>
      <c r="L35" s="375" t="s">
        <v>217</v>
      </c>
      <c r="M35" s="409">
        <f>Gegevensblad!M35</f>
        <v>0</v>
      </c>
      <c r="N35" s="387">
        <f t="shared" ref="N35:N40" si="1">K35*M35</f>
        <v>0</v>
      </c>
      <c r="O35" s="377"/>
    </row>
    <row r="36" spans="1:15" ht="22.5" x14ac:dyDescent="0.25">
      <c r="A36" s="442" t="s">
        <v>139</v>
      </c>
      <c r="B36" s="354" t="s">
        <v>140</v>
      </c>
      <c r="C36" s="354" t="s">
        <v>249</v>
      </c>
      <c r="D36" s="380" t="s">
        <v>203</v>
      </c>
      <c r="E36" s="380" t="s">
        <v>203</v>
      </c>
      <c r="F36" s="380" t="s">
        <v>203</v>
      </c>
      <c r="G36" s="380" t="s">
        <v>115</v>
      </c>
      <c r="H36" s="380" t="s">
        <v>115</v>
      </c>
      <c r="I36" s="380" t="s">
        <v>115</v>
      </c>
      <c r="J36" s="380" t="s">
        <v>115</v>
      </c>
      <c r="K36" s="380" t="b">
        <f>IF('Invul- en verrekenblad'!B15=1,IF(Variabelen!E17="ja",1,0))</f>
        <v>0</v>
      </c>
      <c r="L36" s="380" t="s">
        <v>250</v>
      </c>
      <c r="M36" s="412">
        <f>Gegevensblad!M36</f>
        <v>9.9831560644368125</v>
      </c>
      <c r="N36" s="388">
        <f t="shared" si="1"/>
        <v>0</v>
      </c>
      <c r="O36" s="377"/>
    </row>
    <row r="37" spans="1:15" ht="33.75" x14ac:dyDescent="0.25">
      <c r="A37" s="447" t="s">
        <v>141</v>
      </c>
      <c r="B37" s="354" t="s">
        <v>251</v>
      </c>
      <c r="C37" s="354" t="s">
        <v>252</v>
      </c>
      <c r="D37" s="380" t="s">
        <v>194</v>
      </c>
      <c r="E37" s="380" t="s">
        <v>194</v>
      </c>
      <c r="F37" s="380" t="s">
        <v>194</v>
      </c>
      <c r="G37" s="434" t="s">
        <v>203</v>
      </c>
      <c r="H37" s="434" t="s">
        <v>203</v>
      </c>
      <c r="I37" s="434" t="s">
        <v>203</v>
      </c>
      <c r="J37" s="434" t="s">
        <v>203</v>
      </c>
      <c r="K37" s="404"/>
      <c r="L37" s="380" t="s">
        <v>217</v>
      </c>
      <c r="M37" s="412">
        <f>Gegevensblad!M37</f>
        <v>152.18225707982944</v>
      </c>
      <c r="N37" s="457">
        <f t="shared" si="1"/>
        <v>0</v>
      </c>
      <c r="O37" s="377"/>
    </row>
    <row r="38" spans="1:15" ht="22.5" x14ac:dyDescent="0.25">
      <c r="A38" s="447" t="s">
        <v>143</v>
      </c>
      <c r="B38" s="354" t="s">
        <v>253</v>
      </c>
      <c r="C38" s="354" t="s">
        <v>254</v>
      </c>
      <c r="D38" s="380" t="s">
        <v>194</v>
      </c>
      <c r="E38" s="380" t="s">
        <v>194</v>
      </c>
      <c r="F38" s="380" t="s">
        <v>194</v>
      </c>
      <c r="G38" s="434" t="s">
        <v>203</v>
      </c>
      <c r="H38" s="434" t="s">
        <v>203</v>
      </c>
      <c r="I38" s="434" t="s">
        <v>203</v>
      </c>
      <c r="J38" s="434" t="s">
        <v>203</v>
      </c>
      <c r="K38" s="406"/>
      <c r="L38" s="394" t="s">
        <v>250</v>
      </c>
      <c r="M38" s="412">
        <f>Gegevensblad!M38</f>
        <v>436.76307781911055</v>
      </c>
      <c r="N38" s="457">
        <f t="shared" si="1"/>
        <v>0</v>
      </c>
      <c r="O38" s="377"/>
    </row>
    <row r="39" spans="1:15" x14ac:dyDescent="0.25">
      <c r="A39" s="442" t="s">
        <v>255</v>
      </c>
      <c r="B39" s="354" t="s">
        <v>256</v>
      </c>
      <c r="C39" s="354" t="s">
        <v>257</v>
      </c>
      <c r="D39" s="380" t="s">
        <v>194</v>
      </c>
      <c r="E39" s="380" t="s">
        <v>115</v>
      </c>
      <c r="F39" s="380" t="s">
        <v>115</v>
      </c>
      <c r="G39" s="380" t="s">
        <v>115</v>
      </c>
      <c r="H39" s="380" t="s">
        <v>115</v>
      </c>
      <c r="I39" s="380" t="s">
        <v>115</v>
      </c>
      <c r="J39" s="380" t="s">
        <v>115</v>
      </c>
      <c r="K39" s="380">
        <f>'Invul- en verrekenblad'!C15</f>
        <v>0</v>
      </c>
      <c r="L39" s="394" t="s">
        <v>217</v>
      </c>
      <c r="M39" s="412">
        <f>Gegevensblad!M39</f>
        <v>12.478945080546016</v>
      </c>
      <c r="N39" s="388">
        <f t="shared" si="1"/>
        <v>0</v>
      </c>
      <c r="O39" s="377"/>
    </row>
    <row r="40" spans="1:15" ht="45" x14ac:dyDescent="0.25">
      <c r="A40" s="447" t="s">
        <v>145</v>
      </c>
      <c r="B40" s="354" t="s">
        <v>146</v>
      </c>
      <c r="C40" s="354" t="s">
        <v>258</v>
      </c>
      <c r="D40" s="380" t="s">
        <v>203</v>
      </c>
      <c r="E40" s="434" t="s">
        <v>203</v>
      </c>
      <c r="F40" s="434" t="s">
        <v>203</v>
      </c>
      <c r="G40" s="434" t="s">
        <v>203</v>
      </c>
      <c r="H40" s="434" t="s">
        <v>203</v>
      </c>
      <c r="I40" s="434" t="s">
        <v>203</v>
      </c>
      <c r="J40" s="434" t="s">
        <v>203</v>
      </c>
      <c r="K40" s="394" t="b">
        <f>IF('Invul- en verrekenblad'!B15=1,IF(Variabelen!E20="ja",'Invul- en verrekenblad'!F15,0))</f>
        <v>0</v>
      </c>
      <c r="L40" s="394" t="s">
        <v>259</v>
      </c>
      <c r="M40" s="412">
        <f>Gegevensblad!M40</f>
        <v>1.1231050572491412</v>
      </c>
      <c r="N40" s="388">
        <f t="shared" si="1"/>
        <v>0</v>
      </c>
      <c r="O40" s="377"/>
    </row>
    <row r="41" spans="1:15" ht="45" x14ac:dyDescent="0.25">
      <c r="A41" s="447" t="s">
        <v>147</v>
      </c>
      <c r="B41" s="354" t="s">
        <v>260</v>
      </c>
      <c r="C41" s="354" t="s">
        <v>261</v>
      </c>
      <c r="D41" s="380" t="s">
        <v>194</v>
      </c>
      <c r="E41" s="434" t="s">
        <v>203</v>
      </c>
      <c r="F41" s="434" t="s">
        <v>203</v>
      </c>
      <c r="G41" s="434" t="s">
        <v>203</v>
      </c>
      <c r="H41" s="434" t="s">
        <v>203</v>
      </c>
      <c r="I41" s="434" t="s">
        <v>203</v>
      </c>
      <c r="J41" s="434" t="s">
        <v>203</v>
      </c>
      <c r="K41" s="380" t="b">
        <f>IF('Invul- en verrekenblad'!B15=1,IF(Variabelen!E21="ja",'Invul- en verrekenblad'!F15*('Invul- en verrekenblad'!C15/5),0))</f>
        <v>0</v>
      </c>
      <c r="L41" s="380" t="s">
        <v>262</v>
      </c>
      <c r="M41" s="412">
        <f>Gegevensblad!M41</f>
        <v>7.045474864806919</v>
      </c>
      <c r="N41" s="388">
        <f>K41*M41</f>
        <v>0</v>
      </c>
      <c r="O41" s="377"/>
    </row>
    <row r="42" spans="1:15" ht="56.25" x14ac:dyDescent="0.25">
      <c r="A42" s="447" t="s">
        <v>149</v>
      </c>
      <c r="B42" s="354" t="s">
        <v>263</v>
      </c>
      <c r="C42" s="354" t="s">
        <v>264</v>
      </c>
      <c r="D42" s="380" t="s">
        <v>203</v>
      </c>
      <c r="E42" s="434" t="s">
        <v>203</v>
      </c>
      <c r="F42" s="434" t="s">
        <v>203</v>
      </c>
      <c r="G42" s="434" t="s">
        <v>203</v>
      </c>
      <c r="H42" s="434" t="s">
        <v>203</v>
      </c>
      <c r="I42" s="434" t="s">
        <v>203</v>
      </c>
      <c r="J42" s="434" t="s">
        <v>203</v>
      </c>
      <c r="K42" s="395" t="b">
        <f>IF('Invul- en verrekenblad'!B15=1,IF(Variabelen!E22="ja",'Invul- en verrekenblad'!F15/3.5*('Invul- en verrekenblad'!C15/5),0))</f>
        <v>0</v>
      </c>
      <c r="L42" s="380" t="s">
        <v>265</v>
      </c>
      <c r="M42" s="412">
        <f>Gegevensblad!M42</f>
        <v>8.4545698377683021</v>
      </c>
      <c r="N42" s="388">
        <f>K42*M42</f>
        <v>0</v>
      </c>
      <c r="O42" s="377"/>
    </row>
    <row r="43" spans="1:15" ht="23.25" thickBot="1" x14ac:dyDescent="0.3">
      <c r="A43" s="447" t="s">
        <v>151</v>
      </c>
      <c r="B43" s="354" t="s">
        <v>266</v>
      </c>
      <c r="C43" s="354" t="s">
        <v>267</v>
      </c>
      <c r="D43" s="380" t="s">
        <v>203</v>
      </c>
      <c r="E43" s="434" t="s">
        <v>203</v>
      </c>
      <c r="F43" s="434" t="s">
        <v>203</v>
      </c>
      <c r="G43" s="434" t="s">
        <v>203</v>
      </c>
      <c r="H43" s="434" t="s">
        <v>203</v>
      </c>
      <c r="I43" s="434" t="s">
        <v>203</v>
      </c>
      <c r="J43" s="434" t="s">
        <v>203</v>
      </c>
      <c r="K43" s="380" t="b">
        <f>IF('Invul- en verrekenblad'!B15=1,IF(OR(Variabelen!E21="ja",Variabelen!E22="ja"),Variabelen!E23,0))</f>
        <v>0</v>
      </c>
      <c r="L43" s="380" t="s">
        <v>268</v>
      </c>
      <c r="M43" s="412">
        <f>Gegevensblad!M43</f>
        <v>450.91039134764281</v>
      </c>
      <c r="N43" s="388">
        <f>K43*M43</f>
        <v>0</v>
      </c>
      <c r="O43" s="377"/>
    </row>
    <row r="44" spans="1:15" ht="47.25" thickBot="1" x14ac:dyDescent="0.25">
      <c r="A44" s="427">
        <v>6</v>
      </c>
      <c r="B44" s="330" t="s">
        <v>155</v>
      </c>
      <c r="C44" s="327"/>
      <c r="D44" s="428" t="s">
        <v>313</v>
      </c>
      <c r="E44" s="429" t="s">
        <v>117</v>
      </c>
      <c r="F44" s="429" t="s">
        <v>118</v>
      </c>
      <c r="G44" s="430" t="s">
        <v>119</v>
      </c>
      <c r="H44" s="430" t="s">
        <v>120</v>
      </c>
      <c r="I44" s="431" t="s">
        <v>121</v>
      </c>
      <c r="J44" s="431" t="s">
        <v>122</v>
      </c>
      <c r="K44" s="372"/>
      <c r="L44" s="372" t="s">
        <v>188</v>
      </c>
      <c r="M44" s="410" t="str">
        <f>Gegevensblad!M45</f>
        <v>Prijs per eenheid (€)</v>
      </c>
      <c r="N44" s="385"/>
      <c r="O44" s="386"/>
    </row>
    <row r="45" spans="1:15" ht="22.5" x14ac:dyDescent="0.25">
      <c r="A45" s="440" t="s">
        <v>270</v>
      </c>
      <c r="B45" s="353" t="s">
        <v>271</v>
      </c>
      <c r="C45" s="353" t="s">
        <v>272</v>
      </c>
      <c r="D45" s="375" t="s">
        <v>194</v>
      </c>
      <c r="E45" s="375" t="s">
        <v>115</v>
      </c>
      <c r="F45" s="375" t="s">
        <v>115</v>
      </c>
      <c r="G45" s="375" t="s">
        <v>194</v>
      </c>
      <c r="H45" s="375" t="s">
        <v>194</v>
      </c>
      <c r="I45" s="375" t="s">
        <v>194</v>
      </c>
      <c r="J45" s="375" t="s">
        <v>194</v>
      </c>
      <c r="K45" s="375">
        <f>'Invul- en verrekenblad'!E15</f>
        <v>0</v>
      </c>
      <c r="L45" s="375" t="s">
        <v>217</v>
      </c>
      <c r="M45" s="409">
        <f>Gegevensblad!M46</f>
        <v>0</v>
      </c>
      <c r="N45" s="387">
        <f t="shared" ref="N45:N50" si="2">K45*M45</f>
        <v>0</v>
      </c>
      <c r="O45" s="377"/>
    </row>
    <row r="46" spans="1:15" ht="45" x14ac:dyDescent="0.25">
      <c r="A46" s="447" t="s">
        <v>156</v>
      </c>
      <c r="B46" s="354" t="s">
        <v>157</v>
      </c>
      <c r="C46" s="354" t="s">
        <v>317</v>
      </c>
      <c r="D46" s="380" t="s">
        <v>194</v>
      </c>
      <c r="E46" s="434" t="s">
        <v>203</v>
      </c>
      <c r="F46" s="434" t="s">
        <v>203</v>
      </c>
      <c r="G46" s="380" t="s">
        <v>203</v>
      </c>
      <c r="H46" s="380" t="s">
        <v>115</v>
      </c>
      <c r="I46" s="380" t="s">
        <v>115</v>
      </c>
      <c r="J46" s="380" t="s">
        <v>115</v>
      </c>
      <c r="K46" s="380" t="b">
        <f>IF('Invul- en verrekenblad'!B15=1,IF(Variabelen!E26="ja",'Invul- en verrekenblad'!C15*'Invul- en verrekenblad'!E15,0))</f>
        <v>0</v>
      </c>
      <c r="L46" s="380" t="s">
        <v>217</v>
      </c>
      <c r="M46" s="409">
        <f>Gegevensblad!M47</f>
        <v>129.6367375124473</v>
      </c>
      <c r="N46" s="388">
        <f t="shared" si="2"/>
        <v>0</v>
      </c>
      <c r="O46" s="377"/>
    </row>
    <row r="47" spans="1:15" ht="33.75" x14ac:dyDescent="0.25">
      <c r="A47" s="447" t="s">
        <v>158</v>
      </c>
      <c r="B47" s="354" t="s">
        <v>159</v>
      </c>
      <c r="C47" s="354" t="s">
        <v>318</v>
      </c>
      <c r="D47" s="380" t="s">
        <v>194</v>
      </c>
      <c r="E47" s="380" t="s">
        <v>194</v>
      </c>
      <c r="F47" s="380" t="s">
        <v>194</v>
      </c>
      <c r="G47" s="380" t="s">
        <v>194</v>
      </c>
      <c r="H47" s="434" t="s">
        <v>203</v>
      </c>
      <c r="I47" s="380" t="s">
        <v>194</v>
      </c>
      <c r="J47" s="434" t="s">
        <v>203</v>
      </c>
      <c r="K47" s="404"/>
      <c r="L47" s="390" t="s">
        <v>235</v>
      </c>
      <c r="M47" s="418">
        <f>Variabelen!$L$27</f>
        <v>0</v>
      </c>
      <c r="N47" s="457">
        <f t="shared" si="2"/>
        <v>0</v>
      </c>
      <c r="O47" s="377"/>
    </row>
    <row r="48" spans="1:15" ht="22.5" x14ac:dyDescent="0.25">
      <c r="A48" s="447" t="s">
        <v>160</v>
      </c>
      <c r="B48" s="354" t="s">
        <v>275</v>
      </c>
      <c r="C48" s="354" t="s">
        <v>276</v>
      </c>
      <c r="D48" s="380" t="s">
        <v>194</v>
      </c>
      <c r="E48" s="434" t="s">
        <v>203</v>
      </c>
      <c r="F48" s="434" t="s">
        <v>203</v>
      </c>
      <c r="G48" s="434" t="s">
        <v>203</v>
      </c>
      <c r="H48" s="434" t="s">
        <v>203</v>
      </c>
      <c r="I48" s="434" t="s">
        <v>203</v>
      </c>
      <c r="J48" s="434" t="s">
        <v>203</v>
      </c>
      <c r="K48" s="380" t="b">
        <f>IF('Invul- en verrekenblad'!B15=1,IF(Variabelen!E28="ja",Variabelen!L28,0))</f>
        <v>0</v>
      </c>
      <c r="L48" s="380" t="s">
        <v>162</v>
      </c>
      <c r="M48" s="409">
        <f>Gegevensblad!M49</f>
        <v>5.0727419026609821</v>
      </c>
      <c r="N48" s="388">
        <f t="shared" si="2"/>
        <v>0</v>
      </c>
      <c r="O48" s="377"/>
    </row>
    <row r="49" spans="1:15" ht="22.5" x14ac:dyDescent="0.25">
      <c r="A49" s="447" t="s">
        <v>163</v>
      </c>
      <c r="B49" s="354" t="s">
        <v>164</v>
      </c>
      <c r="C49" s="354" t="s">
        <v>277</v>
      </c>
      <c r="D49" s="380" t="s">
        <v>194</v>
      </c>
      <c r="E49" s="434" t="s">
        <v>203</v>
      </c>
      <c r="F49" s="434" t="s">
        <v>203</v>
      </c>
      <c r="G49" s="434" t="s">
        <v>203</v>
      </c>
      <c r="H49" s="434" t="s">
        <v>203</v>
      </c>
      <c r="I49" s="434" t="s">
        <v>203</v>
      </c>
      <c r="J49" s="434" t="s">
        <v>203</v>
      </c>
      <c r="K49" s="380" t="b">
        <f>IF('Invul- en verrekenblad'!B15=1,IF(Variabelen!E29="ja",1,0))</f>
        <v>0</v>
      </c>
      <c r="L49" s="393" t="s">
        <v>235</v>
      </c>
      <c r="M49" s="392">
        <f>Variabelen!$L$29</f>
        <v>0</v>
      </c>
      <c r="N49" s="388">
        <f t="shared" si="2"/>
        <v>0</v>
      </c>
      <c r="O49" s="377"/>
    </row>
    <row r="50" spans="1:15" ht="12" thickBot="1" x14ac:dyDescent="0.3">
      <c r="A50" s="355" t="s">
        <v>278</v>
      </c>
      <c r="B50" s="356" t="s">
        <v>279</v>
      </c>
      <c r="C50" s="356" t="s">
        <v>280</v>
      </c>
      <c r="D50" s="357" t="s">
        <v>194</v>
      </c>
      <c r="E50" s="357" t="s">
        <v>115</v>
      </c>
      <c r="F50" s="357" t="s">
        <v>115</v>
      </c>
      <c r="G50" s="357" t="s">
        <v>115</v>
      </c>
      <c r="H50" s="357" t="s">
        <v>115</v>
      </c>
      <c r="I50" s="357" t="s">
        <v>115</v>
      </c>
      <c r="J50" s="357" t="s">
        <v>115</v>
      </c>
      <c r="K50" s="357">
        <f>'Invul- en verrekenblad'!E15</f>
        <v>0</v>
      </c>
      <c r="L50" s="357" t="s">
        <v>281</v>
      </c>
      <c r="M50" s="409">
        <f>Gegevensblad!M51</f>
        <v>38.9967033767063</v>
      </c>
      <c r="N50" s="391">
        <f t="shared" si="2"/>
        <v>0</v>
      </c>
      <c r="O50" s="377"/>
    </row>
    <row r="51" spans="1:15" ht="47.25" thickBot="1" x14ac:dyDescent="0.25">
      <c r="A51" s="427">
        <v>7</v>
      </c>
      <c r="B51" s="330" t="s">
        <v>165</v>
      </c>
      <c r="C51" s="327"/>
      <c r="D51" s="428" t="s">
        <v>313</v>
      </c>
      <c r="E51" s="429" t="s">
        <v>117</v>
      </c>
      <c r="F51" s="429" t="s">
        <v>118</v>
      </c>
      <c r="G51" s="430" t="s">
        <v>119</v>
      </c>
      <c r="H51" s="430" t="s">
        <v>120</v>
      </c>
      <c r="I51" s="431" t="s">
        <v>121</v>
      </c>
      <c r="J51" s="431" t="s">
        <v>122</v>
      </c>
      <c r="K51" s="372"/>
      <c r="L51" s="372" t="s">
        <v>188</v>
      </c>
      <c r="M51" s="410" t="str">
        <f>Gegevensblad!M52</f>
        <v>Prijs per eenheid (€)</v>
      </c>
      <c r="N51" s="385"/>
      <c r="O51" s="386"/>
    </row>
    <row r="52" spans="1:15" ht="78.75" x14ac:dyDescent="0.25">
      <c r="A52" s="440" t="s">
        <v>282</v>
      </c>
      <c r="B52" s="353" t="s">
        <v>283</v>
      </c>
      <c r="C52" s="353" t="s">
        <v>284</v>
      </c>
      <c r="D52" s="375" t="s">
        <v>194</v>
      </c>
      <c r="E52" s="375" t="s">
        <v>115</v>
      </c>
      <c r="F52" s="375" t="s">
        <v>115</v>
      </c>
      <c r="G52" s="375" t="s">
        <v>115</v>
      </c>
      <c r="H52" s="375" t="s">
        <v>115</v>
      </c>
      <c r="I52" s="375" t="s">
        <v>115</v>
      </c>
      <c r="J52" s="375" t="s">
        <v>115</v>
      </c>
      <c r="K52" s="375">
        <f>'Invul- en verrekenblad'!C15*'Invul- en verrekenblad'!D15</f>
        <v>0</v>
      </c>
      <c r="L52" s="375" t="s">
        <v>217</v>
      </c>
      <c r="M52" s="409">
        <f>Gegevensblad!M53</f>
        <v>15.218225707982945</v>
      </c>
      <c r="N52" s="387">
        <f>K52*M52</f>
        <v>0</v>
      </c>
      <c r="O52" s="377"/>
    </row>
    <row r="53" spans="1:15" ht="56.25" x14ac:dyDescent="0.25">
      <c r="A53" s="447" t="s">
        <v>166</v>
      </c>
      <c r="B53" s="354" t="s">
        <v>167</v>
      </c>
      <c r="C53" s="354" t="s">
        <v>319</v>
      </c>
      <c r="D53" s="380" t="s">
        <v>194</v>
      </c>
      <c r="E53" s="434" t="s">
        <v>203</v>
      </c>
      <c r="F53" s="380" t="s">
        <v>115</v>
      </c>
      <c r="G53" s="434" t="s">
        <v>203</v>
      </c>
      <c r="H53" s="380" t="s">
        <v>115</v>
      </c>
      <c r="I53" s="434" t="s">
        <v>203</v>
      </c>
      <c r="J53" s="380" t="s">
        <v>115</v>
      </c>
      <c r="K53" s="380" t="b">
        <f>IF('Invul- en verrekenblad'!B15=1,IF(Variabelen!E31="ja",'Invul- en verrekenblad'!C15*'Invul- en verrekenblad'!D15,0))</f>
        <v>0</v>
      </c>
      <c r="L53" s="380" t="s">
        <v>217</v>
      </c>
      <c r="M53" s="409">
        <f>Gegevensblad!M54</f>
        <v>18.036415653905713</v>
      </c>
      <c r="N53" s="388">
        <f>K53*M53</f>
        <v>0</v>
      </c>
      <c r="O53" s="377"/>
    </row>
    <row r="54" spans="1:15" ht="45" x14ac:dyDescent="0.25">
      <c r="A54" s="447" t="s">
        <v>168</v>
      </c>
      <c r="B54" s="354" t="s">
        <v>169</v>
      </c>
      <c r="C54" s="354" t="s">
        <v>320</v>
      </c>
      <c r="D54" s="380" t="s">
        <v>194</v>
      </c>
      <c r="E54" s="434" t="s">
        <v>203</v>
      </c>
      <c r="F54" s="434" t="s">
        <v>203</v>
      </c>
      <c r="G54" s="434" t="s">
        <v>203</v>
      </c>
      <c r="H54" s="434" t="s">
        <v>203</v>
      </c>
      <c r="I54" s="434" t="s">
        <v>203</v>
      </c>
      <c r="J54" s="434" t="s">
        <v>203</v>
      </c>
      <c r="K54" s="380" t="b">
        <f>IF('Invul- en verrekenblad'!B15=1,IF(Variabelen!E32="ja",1,0))</f>
        <v>0</v>
      </c>
      <c r="L54" s="393" t="s">
        <v>235</v>
      </c>
      <c r="M54" s="392">
        <f>Variabelen!$L$32</f>
        <v>0</v>
      </c>
      <c r="N54" s="388">
        <f>K54*M54</f>
        <v>0</v>
      </c>
      <c r="O54" s="377"/>
    </row>
    <row r="55" spans="1:15" ht="23.25" thickBot="1" x14ac:dyDescent="0.3">
      <c r="A55" s="444" t="s">
        <v>170</v>
      </c>
      <c r="B55" s="356" t="s">
        <v>171</v>
      </c>
      <c r="C55" s="356" t="s">
        <v>287</v>
      </c>
      <c r="D55" s="357" t="s">
        <v>194</v>
      </c>
      <c r="E55" s="357" t="s">
        <v>194</v>
      </c>
      <c r="F55" s="357" t="s">
        <v>194</v>
      </c>
      <c r="G55" s="357" t="s">
        <v>194</v>
      </c>
      <c r="H55" s="357" t="s">
        <v>194</v>
      </c>
      <c r="I55" s="357" t="s">
        <v>194</v>
      </c>
      <c r="J55" s="445" t="s">
        <v>203</v>
      </c>
      <c r="K55" s="405"/>
      <c r="L55" s="390" t="s">
        <v>235</v>
      </c>
      <c r="M55" s="420">
        <f>Variabelen!$L$33</f>
        <v>0</v>
      </c>
      <c r="N55" s="455">
        <f>K55*M55</f>
        <v>0</v>
      </c>
      <c r="O55" s="377"/>
    </row>
    <row r="56" spans="1:15" ht="47.25" thickBot="1" x14ac:dyDescent="0.3">
      <c r="A56" s="427">
        <v>8</v>
      </c>
      <c r="B56" s="330" t="s">
        <v>288</v>
      </c>
      <c r="C56" s="330"/>
      <c r="D56" s="428" t="s">
        <v>313</v>
      </c>
      <c r="E56" s="429" t="s">
        <v>117</v>
      </c>
      <c r="F56" s="429" t="s">
        <v>118</v>
      </c>
      <c r="G56" s="430" t="s">
        <v>119</v>
      </c>
      <c r="H56" s="430" t="s">
        <v>120</v>
      </c>
      <c r="I56" s="431" t="s">
        <v>121</v>
      </c>
      <c r="J56" s="431" t="s">
        <v>122</v>
      </c>
      <c r="K56" s="372"/>
      <c r="L56" s="372" t="s">
        <v>188</v>
      </c>
      <c r="M56" s="415" t="str">
        <f>Gegevensblad!M57</f>
        <v>Prijs per eenheid (€)</v>
      </c>
      <c r="N56" s="385"/>
      <c r="O56" s="386"/>
    </row>
    <row r="57" spans="1:15" ht="56.25" x14ac:dyDescent="0.25">
      <c r="A57" s="440" t="s">
        <v>289</v>
      </c>
      <c r="B57" s="353" t="s">
        <v>290</v>
      </c>
      <c r="C57" s="353" t="s">
        <v>321</v>
      </c>
      <c r="D57" s="375" t="s">
        <v>115</v>
      </c>
      <c r="E57" s="375" t="s">
        <v>194</v>
      </c>
      <c r="F57" s="375" t="s">
        <v>194</v>
      </c>
      <c r="G57" s="375" t="s">
        <v>194</v>
      </c>
      <c r="H57" s="375" t="s">
        <v>194</v>
      </c>
      <c r="I57" s="375" t="s">
        <v>194</v>
      </c>
      <c r="J57" s="375" t="s">
        <v>194</v>
      </c>
      <c r="K57" s="403"/>
      <c r="L57" s="375" t="s">
        <v>292</v>
      </c>
      <c r="M57" s="409">
        <f>Gegevensblad!M58</f>
        <v>111.44175191793592</v>
      </c>
      <c r="N57" s="456">
        <f t="shared" ref="N57:N63" si="3">K57*M57</f>
        <v>0</v>
      </c>
      <c r="O57" s="377"/>
    </row>
    <row r="58" spans="1:15" ht="22.5" x14ac:dyDescent="0.25">
      <c r="A58" s="442" t="s">
        <v>293</v>
      </c>
      <c r="B58" s="354" t="s">
        <v>294</v>
      </c>
      <c r="C58" s="354" t="s">
        <v>295</v>
      </c>
      <c r="D58" s="434" t="s">
        <v>115</v>
      </c>
      <c r="E58" s="434" t="s">
        <v>115</v>
      </c>
      <c r="F58" s="434" t="s">
        <v>115</v>
      </c>
      <c r="G58" s="434" t="s">
        <v>115</v>
      </c>
      <c r="H58" s="434" t="s">
        <v>115</v>
      </c>
      <c r="I58" s="434" t="s">
        <v>115</v>
      </c>
      <c r="J58" s="434" t="s">
        <v>115</v>
      </c>
      <c r="K58" s="380" t="b">
        <f>IF(('Invul- en verrekenblad'!B16+'Invul- en verrekenblad'!B17+'Invul- en verrekenblad'!B18+'Invul- en verrekenblad'!B19+'Invul- en verrekenblad'!B20)&gt;0,0,IF('Invul- en verrekenblad'!B6="ja",IF('Invul- en verrekenblad'!B15=1,1,0)))</f>
        <v>0</v>
      </c>
      <c r="L58" s="380" t="s">
        <v>292</v>
      </c>
      <c r="M58" s="409">
        <f>Gegevensblad!M59</f>
        <v>696.51094948709942</v>
      </c>
      <c r="N58" s="388">
        <f>IF('Invul- en verrekenblad'!B14=1,0,K58*M58)</f>
        <v>0</v>
      </c>
      <c r="O58" s="377"/>
    </row>
    <row r="59" spans="1:15" ht="45" x14ac:dyDescent="0.25">
      <c r="A59" s="447" t="s">
        <v>173</v>
      </c>
      <c r="B59" s="354" t="s">
        <v>174</v>
      </c>
      <c r="C59" s="354" t="s">
        <v>296</v>
      </c>
      <c r="D59" s="434" t="s">
        <v>203</v>
      </c>
      <c r="E59" s="434" t="s">
        <v>203</v>
      </c>
      <c r="F59" s="434" t="s">
        <v>203</v>
      </c>
      <c r="G59" s="434" t="s">
        <v>203</v>
      </c>
      <c r="H59" s="434" t="s">
        <v>203</v>
      </c>
      <c r="I59" s="434" t="s">
        <v>203</v>
      </c>
      <c r="J59" s="434" t="s">
        <v>203</v>
      </c>
      <c r="K59" s="380" t="b">
        <f>IF('Invul- en verrekenblad'!B15=1,IF('Invul- en verrekenblad'!B6="ja",IF(Variabelen!E35="ja",1,0)))</f>
        <v>0</v>
      </c>
      <c r="L59" s="393" t="s">
        <v>235</v>
      </c>
      <c r="M59" s="392">
        <f>Variabelen!$L$35</f>
        <v>0</v>
      </c>
      <c r="N59" s="388">
        <f t="shared" si="3"/>
        <v>0</v>
      </c>
      <c r="O59" s="377"/>
    </row>
    <row r="60" spans="1:15" ht="45" x14ac:dyDescent="0.25">
      <c r="A60" s="447" t="s">
        <v>175</v>
      </c>
      <c r="B60" s="354" t="s">
        <v>176</v>
      </c>
      <c r="C60" s="354" t="s">
        <v>296</v>
      </c>
      <c r="D60" s="434" t="s">
        <v>203</v>
      </c>
      <c r="E60" s="434" t="s">
        <v>203</v>
      </c>
      <c r="F60" s="434" t="s">
        <v>203</v>
      </c>
      <c r="G60" s="434" t="s">
        <v>203</v>
      </c>
      <c r="H60" s="434" t="s">
        <v>203</v>
      </c>
      <c r="I60" s="434" t="s">
        <v>203</v>
      </c>
      <c r="J60" s="434" t="s">
        <v>203</v>
      </c>
      <c r="K60" s="380" t="b">
        <f>IF('Invul- en verrekenblad'!B15=1,IF('Invul- en verrekenblad'!B6="ja",IF(Variabelen!E36="ja",1,0)))</f>
        <v>0</v>
      </c>
      <c r="L60" s="393" t="s">
        <v>235</v>
      </c>
      <c r="M60" s="392">
        <f>Variabelen!$L$36</f>
        <v>0</v>
      </c>
      <c r="N60" s="388">
        <f t="shared" si="3"/>
        <v>0</v>
      </c>
      <c r="O60" s="377"/>
    </row>
    <row r="61" spans="1:15" ht="33.75" x14ac:dyDescent="0.25">
      <c r="A61" s="447" t="s">
        <v>177</v>
      </c>
      <c r="B61" s="354" t="s">
        <v>297</v>
      </c>
      <c r="C61" s="354" t="s">
        <v>322</v>
      </c>
      <c r="D61" s="434" t="s">
        <v>203</v>
      </c>
      <c r="E61" s="434" t="s">
        <v>203</v>
      </c>
      <c r="F61" s="434" t="s">
        <v>203</v>
      </c>
      <c r="G61" s="434" t="s">
        <v>203</v>
      </c>
      <c r="H61" s="434" t="s">
        <v>203</v>
      </c>
      <c r="I61" s="434" t="s">
        <v>203</v>
      </c>
      <c r="J61" s="434" t="s">
        <v>203</v>
      </c>
      <c r="K61" s="380" t="b">
        <f>IF('Invul- en verrekenblad'!B15=1,IF('Invul- en verrekenblad'!B6="ja",IF(Variabelen!E37="ja",1,0)))</f>
        <v>0</v>
      </c>
      <c r="L61" s="380" t="s">
        <v>292</v>
      </c>
      <c r="M61" s="409">
        <f>Gegevensblad!M62</f>
        <v>55.720875958967959</v>
      </c>
      <c r="N61" s="388">
        <f t="shared" si="3"/>
        <v>0</v>
      </c>
      <c r="O61" s="377"/>
    </row>
    <row r="62" spans="1:15" ht="33.75" x14ac:dyDescent="0.25">
      <c r="A62" s="447" t="s">
        <v>179</v>
      </c>
      <c r="B62" s="354" t="s">
        <v>299</v>
      </c>
      <c r="C62" s="354" t="s">
        <v>300</v>
      </c>
      <c r="D62" s="434" t="s">
        <v>203</v>
      </c>
      <c r="E62" s="434" t="s">
        <v>203</v>
      </c>
      <c r="F62" s="434" t="s">
        <v>203</v>
      </c>
      <c r="G62" s="434" t="s">
        <v>203</v>
      </c>
      <c r="H62" s="434" t="s">
        <v>203</v>
      </c>
      <c r="I62" s="434" t="s">
        <v>203</v>
      </c>
      <c r="J62" s="434" t="s">
        <v>203</v>
      </c>
      <c r="K62" s="380" t="b">
        <f>IF('Invul- en verrekenblad'!B15=1,IF('Invul- en verrekenblad'!B6="ja",IF(Variabelen!E38="ja",1,0)))</f>
        <v>0</v>
      </c>
      <c r="L62" s="380" t="s">
        <v>292</v>
      </c>
      <c r="M62" s="409">
        <f>Gegevensblad!M63</f>
        <v>111.44175191793592</v>
      </c>
      <c r="N62" s="388">
        <f t="shared" si="3"/>
        <v>0</v>
      </c>
      <c r="O62" s="377"/>
    </row>
    <row r="63" spans="1:15" ht="23.25" thickBot="1" x14ac:dyDescent="0.3">
      <c r="A63" s="444" t="s">
        <v>181</v>
      </c>
      <c r="B63" s="356" t="s">
        <v>301</v>
      </c>
      <c r="C63" s="356" t="s">
        <v>302</v>
      </c>
      <c r="D63" s="445" t="s">
        <v>203</v>
      </c>
      <c r="E63" s="357" t="s">
        <v>194</v>
      </c>
      <c r="F63" s="357" t="s">
        <v>194</v>
      </c>
      <c r="G63" s="357" t="s">
        <v>194</v>
      </c>
      <c r="H63" s="357" t="s">
        <v>194</v>
      </c>
      <c r="I63" s="357" t="s">
        <v>194</v>
      </c>
      <c r="J63" s="357" t="s">
        <v>194</v>
      </c>
      <c r="K63" s="405"/>
      <c r="L63" s="357" t="s">
        <v>217</v>
      </c>
      <c r="M63" s="409">
        <f>Gegevensblad!M64</f>
        <v>428.10847288998912</v>
      </c>
      <c r="N63" s="455">
        <f t="shared" si="3"/>
        <v>0</v>
      </c>
      <c r="O63" s="377"/>
    </row>
    <row r="64" spans="1:15" ht="47.25" thickBot="1" x14ac:dyDescent="0.25">
      <c r="A64" s="427">
        <v>9</v>
      </c>
      <c r="B64" s="330" t="s">
        <v>304</v>
      </c>
      <c r="C64" s="327"/>
      <c r="D64" s="428" t="s">
        <v>313</v>
      </c>
      <c r="E64" s="429" t="s">
        <v>117</v>
      </c>
      <c r="F64" s="429" t="s">
        <v>118</v>
      </c>
      <c r="G64" s="430" t="s">
        <v>119</v>
      </c>
      <c r="H64" s="430" t="s">
        <v>120</v>
      </c>
      <c r="I64" s="431" t="s">
        <v>121</v>
      </c>
      <c r="J64" s="431" t="s">
        <v>122</v>
      </c>
      <c r="K64" s="372"/>
      <c r="L64" s="372" t="s">
        <v>188</v>
      </c>
      <c r="M64" s="415" t="str">
        <f>Gegevensblad!M65</f>
        <v>Prijs per eenheid (€)</v>
      </c>
      <c r="N64" s="385"/>
      <c r="O64" s="386"/>
    </row>
    <row r="65" spans="1:15" ht="45.75" thickBot="1" x14ac:dyDescent="0.3">
      <c r="A65" s="440" t="s">
        <v>305</v>
      </c>
      <c r="B65" s="353" t="s">
        <v>306</v>
      </c>
      <c r="C65" s="353" t="s">
        <v>307</v>
      </c>
      <c r="D65" s="375" t="s">
        <v>194</v>
      </c>
      <c r="E65" s="375" t="s">
        <v>194</v>
      </c>
      <c r="F65" s="375" t="s">
        <v>194</v>
      </c>
      <c r="G65" s="375" t="s">
        <v>115</v>
      </c>
      <c r="H65" s="375" t="s">
        <v>115</v>
      </c>
      <c r="I65" s="375" t="s">
        <v>115</v>
      </c>
      <c r="J65" s="375" t="s">
        <v>115</v>
      </c>
      <c r="K65" s="407"/>
      <c r="L65" s="396" t="s">
        <v>308</v>
      </c>
      <c r="M65" s="460">
        <f>Gegevensblad!M66</f>
        <v>50.727419026609816</v>
      </c>
      <c r="N65" s="456"/>
      <c r="O65" s="377"/>
    </row>
    <row r="66" spans="1:15" s="453" customFormat="1" ht="45.75" thickBot="1" x14ac:dyDescent="0.3">
      <c r="A66" s="448" t="s">
        <v>309</v>
      </c>
      <c r="B66" s="449" t="s">
        <v>310</v>
      </c>
      <c r="C66" s="449" t="s">
        <v>311</v>
      </c>
      <c r="D66" s="450" t="s">
        <v>194</v>
      </c>
      <c r="E66" s="450" t="s">
        <v>115</v>
      </c>
      <c r="F66" s="450" t="s">
        <v>115</v>
      </c>
      <c r="G66" s="450" t="s">
        <v>115</v>
      </c>
      <c r="H66" s="450" t="s">
        <v>115</v>
      </c>
      <c r="I66" s="450" t="s">
        <v>115</v>
      </c>
      <c r="J66" s="450" t="s">
        <v>115</v>
      </c>
      <c r="K66" s="450">
        <f>'Invul- en verrekenblad'!C15*('Invul- en verrekenblad'!D15+'Invul- en verrekenblad'!E15)</f>
        <v>0</v>
      </c>
      <c r="L66" s="451" t="s">
        <v>308</v>
      </c>
      <c r="M66" s="460">
        <f>Gegevensblad!M67</f>
        <v>108.36954890453575</v>
      </c>
      <c r="N66" s="398">
        <f>K66*M66</f>
        <v>0</v>
      </c>
      <c r="O66" s="452"/>
    </row>
    <row r="67" spans="1:15" ht="15.75" x14ac:dyDescent="0.25">
      <c r="D67" s="454" t="s">
        <v>115</v>
      </c>
      <c r="E67" s="454" t="s">
        <v>115</v>
      </c>
      <c r="F67" s="454" t="s">
        <v>115</v>
      </c>
      <c r="G67" s="454" t="s">
        <v>115</v>
      </c>
      <c r="H67" s="454" t="s">
        <v>115</v>
      </c>
      <c r="I67" s="454" t="s">
        <v>115</v>
      </c>
      <c r="J67" s="454" t="s">
        <v>115</v>
      </c>
      <c r="N67" s="402">
        <f>SUBTOTAL(9,N10:N66)</f>
        <v>0</v>
      </c>
    </row>
    <row r="70" spans="1:15" ht="10.15" customHeight="1" x14ac:dyDescent="0.25"/>
  </sheetData>
  <sheetProtection algorithmName="SHA-512" hashValue="cSMXDkSI6XuRvLl8qBV58NPmYvjH3yuAK4a10ryx1lF8df2vG2WOH8e9Q3OTDIc0isU5SKu+zhw726MCUbXuBQ==" saltValue="cVLloE/dKELpfSYNMaXydw==" spinCount="100000" sheet="1" selectLockedCells="1"/>
  <autoFilter ref="A8:N8" xr:uid="{00000000-0001-0000-0400-000000000000}">
    <filterColumn colId="3" showButton="0"/>
    <filterColumn colId="4" showButton="0"/>
    <filterColumn colId="5" showButton="0"/>
    <filterColumn colId="6" showButton="0"/>
    <filterColumn colId="7" showButton="0"/>
    <filterColumn colId="8" showButton="0"/>
    <filterColumn colId="11" showButton="0"/>
  </autoFilter>
  <mergeCells count="3">
    <mergeCell ref="D8:J8"/>
    <mergeCell ref="L8:M8"/>
    <mergeCell ref="B34:C34"/>
  </mergeCells>
  <conditionalFormatting sqref="D16:D18 E16:J66">
    <cfRule type="containsText" dxfId="95" priority="25" operator="containsText" text="nee">
      <formula>NOT(ISERROR(SEARCH("nee",D16)))</formula>
    </cfRule>
    <cfRule type="containsText" dxfId="94" priority="26" operator="containsText" text="optie">
      <formula>NOT(ISERROR(SEARCH("optie",D16)))</formula>
    </cfRule>
    <cfRule type="containsText" dxfId="93" priority="27" operator="containsText" text="ja">
      <formula>NOT(ISERROR(SEARCH("ja",D16)))</formula>
    </cfRule>
  </conditionalFormatting>
  <conditionalFormatting sqref="D20:D26 D28:D29 D31:D33 D52:D55 D57:D63 D65:D66">
    <cfRule type="containsText" dxfId="92" priority="28" operator="containsText" text="nee">
      <formula>NOT(ISERROR(SEARCH("nee",D20)))</formula>
    </cfRule>
    <cfRule type="containsText" dxfId="91" priority="29" operator="containsText" text="optie">
      <formula>NOT(ISERROR(SEARCH("optie",D20)))</formula>
    </cfRule>
    <cfRule type="containsText" dxfId="90" priority="30" operator="containsText" text="ja">
      <formula>NOT(ISERROR(SEARCH("ja",D20)))</formula>
    </cfRule>
  </conditionalFormatting>
  <conditionalFormatting sqref="D35:D43">
    <cfRule type="containsText" dxfId="89" priority="16" operator="containsText" text="nee">
      <formula>NOT(ISERROR(SEARCH("nee",D35)))</formula>
    </cfRule>
    <cfRule type="containsText" dxfId="88" priority="17" operator="containsText" text="optie">
      <formula>NOT(ISERROR(SEARCH("optie",D35)))</formula>
    </cfRule>
    <cfRule type="containsText" dxfId="87" priority="18" operator="containsText" text="ja">
      <formula>NOT(ISERROR(SEARCH("ja",D35)))</formula>
    </cfRule>
  </conditionalFormatting>
  <conditionalFormatting sqref="D45:D50">
    <cfRule type="containsText" dxfId="86" priority="10" operator="containsText" text="nee">
      <formula>NOT(ISERROR(SEARCH("nee",D45)))</formula>
    </cfRule>
    <cfRule type="containsText" dxfId="85" priority="11" operator="containsText" text="optie">
      <formula>NOT(ISERROR(SEARCH("optie",D45)))</formula>
    </cfRule>
    <cfRule type="containsText" dxfId="84" priority="12" operator="containsText" text="ja">
      <formula>NOT(ISERROR(SEARCH("ja",D45)))</formula>
    </cfRule>
  </conditionalFormatting>
  <conditionalFormatting sqref="D10:J15">
    <cfRule type="containsText" dxfId="83" priority="1" operator="containsText" text="nee">
      <formula>NOT(ISERROR(SEARCH("nee",D10)))</formula>
    </cfRule>
    <cfRule type="containsText" dxfId="82" priority="2" operator="containsText" text="optie">
      <formula>NOT(ISERROR(SEARCH("optie",D10)))</formula>
    </cfRule>
    <cfRule type="containsText" dxfId="81" priority="3" operator="containsText" text="ja">
      <formula>NOT(ISERROR(SEARCH("ja",D10)))</formula>
    </cfRule>
  </conditionalFormatting>
  <pageMargins left="0.25" right="0.25" top="0.75" bottom="0.75" header="0.3" footer="0.3"/>
  <pageSetup paperSize="8"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tabColor rgb="FFFFC000"/>
    <pageSetUpPr fitToPage="1"/>
  </sheetPr>
  <dimension ref="A1:P67"/>
  <sheetViews>
    <sheetView showGridLines="0" zoomScaleNormal="100" workbookViewId="0">
      <pane xSplit="2" ySplit="8" topLeftCell="C9" activePane="bottomRight" state="frozen"/>
      <selection pane="topRight" activeCell="S23" sqref="S23"/>
      <selection pane="bottomLeft" activeCell="S23" sqref="S23"/>
      <selection pane="bottomRight" activeCell="N4" sqref="N4"/>
    </sheetView>
  </sheetViews>
  <sheetFormatPr defaultColWidth="8.7109375" defaultRowHeight="11.25" outlineLevelCol="1" x14ac:dyDescent="0.25"/>
  <cols>
    <col min="1" max="1" width="12.7109375" style="378" customWidth="1"/>
    <col min="2" max="2" width="42.5703125" style="378" customWidth="1"/>
    <col min="3" max="3" width="45.5703125" style="378" customWidth="1"/>
    <col min="4" max="5" width="3.7109375" style="378" hidden="1" customWidth="1" outlineLevel="1"/>
    <col min="6" max="6" width="3.7109375" style="378" customWidth="1" outlineLevel="1"/>
    <col min="7" max="10" width="3.7109375" style="378" hidden="1" customWidth="1" outlineLevel="1"/>
    <col min="11" max="12" width="9.7109375" style="400" customWidth="1"/>
    <col min="13" max="13" width="10.42578125" style="411" customWidth="1"/>
    <col min="14" max="14" width="13.7109375" style="401" bestFit="1" customWidth="1"/>
    <col min="15" max="15" width="8.42578125" style="399" customWidth="1"/>
    <col min="16" max="16384" width="8.7109375" style="378"/>
  </cols>
  <sheetData>
    <row r="1" spans="1:15" s="365" customFormat="1" ht="23.25" x14ac:dyDescent="0.35">
      <c r="A1" s="318" t="s">
        <v>66</v>
      </c>
      <c r="B1" s="318"/>
      <c r="C1" s="318"/>
      <c r="D1" s="318"/>
      <c r="E1" s="318"/>
      <c r="F1" s="318"/>
      <c r="G1" s="318"/>
      <c r="H1" s="318"/>
      <c r="I1" s="318"/>
      <c r="J1" s="318"/>
      <c r="K1" s="318"/>
      <c r="L1" s="275"/>
      <c r="M1" s="275"/>
      <c r="N1" s="318"/>
      <c r="O1" s="364"/>
    </row>
    <row r="2" spans="1:15" s="366" customFormat="1" x14ac:dyDescent="0.25">
      <c r="A2" s="319" t="s">
        <v>114</v>
      </c>
      <c r="L2" s="413"/>
      <c r="M2" s="414"/>
      <c r="N2" s="367"/>
    </row>
    <row r="3" spans="1:15" s="366" customFormat="1" ht="12.75" x14ac:dyDescent="0.25">
      <c r="A3" s="366" t="s">
        <v>72</v>
      </c>
      <c r="B3" s="320" t="str" cm="1">
        <f t="array" ref="B3:C3">'Invul- en verrekenblad'!E5:F5</f>
        <v>CROW400 Definitief versie 1.3 - 2026</v>
      </c>
      <c r="C3" s="366">
        <v>0</v>
      </c>
      <c r="L3" s="413"/>
      <c r="M3" s="414"/>
      <c r="N3" s="367"/>
    </row>
    <row r="4" spans="1:15" s="366" customFormat="1" x14ac:dyDescent="0.25">
      <c r="A4" s="366" t="s">
        <v>74</v>
      </c>
      <c r="B4" s="422">
        <f>'Invul- en verrekenblad'!E6</f>
        <v>46119</v>
      </c>
      <c r="L4" s="413"/>
      <c r="M4" s="414"/>
      <c r="N4" s="367"/>
    </row>
    <row r="5" spans="1:15" s="366" customFormat="1" x14ac:dyDescent="0.25">
      <c r="A5" s="366" t="s">
        <v>76</v>
      </c>
      <c r="B5" s="322" t="str">
        <f>'Invul- en verrekenblad'!E7</f>
        <v>Alliander SRM Sourcing - Contractmanagement Aannemerij</v>
      </c>
      <c r="L5" s="413"/>
      <c r="M5" s="414"/>
      <c r="N5" s="367"/>
    </row>
    <row r="6" spans="1:15" s="366" customFormat="1" ht="18.75" x14ac:dyDescent="0.3">
      <c r="B6" s="423" t="s">
        <v>323</v>
      </c>
      <c r="C6" s="422"/>
      <c r="L6" s="413"/>
      <c r="M6" s="414"/>
      <c r="N6" s="367"/>
    </row>
    <row r="7" spans="1:15" s="365" customFormat="1" ht="12" thickBot="1" x14ac:dyDescent="0.25">
      <c r="C7" s="424"/>
      <c r="L7" s="276"/>
      <c r="M7" s="279"/>
      <c r="N7" s="369"/>
    </row>
    <row r="8" spans="1:15" s="365" customFormat="1" ht="12" thickBot="1" x14ac:dyDescent="0.25">
      <c r="A8" s="425" t="s">
        <v>184</v>
      </c>
      <c r="B8" s="426" t="s">
        <v>185</v>
      </c>
      <c r="C8" s="426" t="s">
        <v>186</v>
      </c>
      <c r="D8" s="491"/>
      <c r="E8" s="491"/>
      <c r="F8" s="491"/>
      <c r="G8" s="491"/>
      <c r="H8" s="491"/>
      <c r="I8" s="491"/>
      <c r="J8" s="491"/>
      <c r="K8" s="328"/>
      <c r="L8" s="492"/>
      <c r="M8" s="492"/>
      <c r="N8" s="370"/>
      <c r="O8" s="371"/>
    </row>
    <row r="9" spans="1:15" s="365" customFormat="1" ht="47.25" thickBot="1" x14ac:dyDescent="0.25">
      <c r="A9" s="427">
        <v>1</v>
      </c>
      <c r="B9" s="330" t="s">
        <v>124</v>
      </c>
      <c r="C9" s="327"/>
      <c r="D9" s="428" t="s">
        <v>313</v>
      </c>
      <c r="E9" s="429" t="s">
        <v>117</v>
      </c>
      <c r="F9" s="429" t="s">
        <v>118</v>
      </c>
      <c r="G9" s="430" t="s">
        <v>119</v>
      </c>
      <c r="H9" s="430" t="s">
        <v>120</v>
      </c>
      <c r="I9" s="431" t="s">
        <v>121</v>
      </c>
      <c r="J9" s="431" t="s">
        <v>122</v>
      </c>
      <c r="K9" s="372" t="s">
        <v>187</v>
      </c>
      <c r="L9" s="410" t="s">
        <v>188</v>
      </c>
      <c r="M9" s="415" t="s">
        <v>189</v>
      </c>
      <c r="N9" s="373" t="s">
        <v>190</v>
      </c>
      <c r="O9" s="374"/>
    </row>
    <row r="10" spans="1:15" s="379" customFormat="1" ht="33.75" x14ac:dyDescent="0.2">
      <c r="A10" s="432" t="s">
        <v>191</v>
      </c>
      <c r="B10" s="353" t="s">
        <v>192</v>
      </c>
      <c r="C10" s="353" t="s">
        <v>193</v>
      </c>
      <c r="D10" s="375" t="s">
        <v>194</v>
      </c>
      <c r="E10" s="375" t="s">
        <v>115</v>
      </c>
      <c r="F10" s="375" t="s">
        <v>115</v>
      </c>
      <c r="G10" s="375" t="s">
        <v>115</v>
      </c>
      <c r="H10" s="375" t="s">
        <v>115</v>
      </c>
      <c r="I10" s="375" t="s">
        <v>115</v>
      </c>
      <c r="J10" s="375" t="s">
        <v>115</v>
      </c>
      <c r="K10" s="375">
        <f>IF(('Invul- en verrekenblad'!B17+'Invul- en verrekenblad'!B18+'Invul- en verrekenblad'!B19+'Invul- en verrekenblad'!B20)&gt;0,0,'Invul- en verrekenblad'!B16)</f>
        <v>0</v>
      </c>
      <c r="L10" s="403" t="s">
        <v>195</v>
      </c>
      <c r="M10" s="416">
        <f>Gegevensblad!M10</f>
        <v>788.15229749355558</v>
      </c>
      <c r="N10" s="376">
        <f>IF('Invul- en verrekenblad'!B5="1.1  Aansluitingen + Net",K10*M10,0)</f>
        <v>0</v>
      </c>
      <c r="O10" s="377"/>
    </row>
    <row r="11" spans="1:15" s="379" customFormat="1" ht="33.75" x14ac:dyDescent="0.2">
      <c r="A11" s="433" t="s">
        <v>196</v>
      </c>
      <c r="B11" s="354" t="s">
        <v>197</v>
      </c>
      <c r="C11" s="354" t="s">
        <v>193</v>
      </c>
      <c r="D11" s="380" t="s">
        <v>194</v>
      </c>
      <c r="E11" s="380" t="s">
        <v>115</v>
      </c>
      <c r="F11" s="380" t="s">
        <v>115</v>
      </c>
      <c r="G11" s="380" t="s">
        <v>115</v>
      </c>
      <c r="H11" s="380" t="s">
        <v>115</v>
      </c>
      <c r="I11" s="380" t="s">
        <v>115</v>
      </c>
      <c r="J11" s="380" t="s">
        <v>115</v>
      </c>
      <c r="K11" s="380">
        <f>IF(('Invul- en verrekenblad'!B17+'Invul- en verrekenblad'!B18+'Invul- en verrekenblad'!B19+'Invul- en verrekenblad'!B20)&gt;0,0,'Invul- en verrekenblad'!B16)</f>
        <v>0</v>
      </c>
      <c r="L11" s="404" t="s">
        <v>195</v>
      </c>
      <c r="M11" s="461">
        <f>Gegevensblad!M11</f>
        <v>685.99735823544768</v>
      </c>
      <c r="N11" s="381">
        <f>IF('Invul- en verrekenblad'!B5="1.1a Aansluitingen",K11*M11,0)</f>
        <v>0</v>
      </c>
    </row>
    <row r="12" spans="1:15" s="379" customFormat="1" ht="33.75" x14ac:dyDescent="0.2">
      <c r="A12" s="433" t="s">
        <v>198</v>
      </c>
      <c r="B12" s="354" t="s">
        <v>199</v>
      </c>
      <c r="C12" s="354" t="s">
        <v>193</v>
      </c>
      <c r="D12" s="380" t="s">
        <v>194</v>
      </c>
      <c r="E12" s="380" t="s">
        <v>115</v>
      </c>
      <c r="F12" s="380" t="s">
        <v>115</v>
      </c>
      <c r="G12" s="380" t="s">
        <v>115</v>
      </c>
      <c r="H12" s="380" t="s">
        <v>115</v>
      </c>
      <c r="I12" s="380" t="s">
        <v>115</v>
      </c>
      <c r="J12" s="380" t="s">
        <v>115</v>
      </c>
      <c r="K12" s="380">
        <f>IF(('Invul- en verrekenblad'!B17+'Invul- en verrekenblad'!B18+'Invul- en verrekenblad'!B19+'Invul- en verrekenblad'!B20)&gt;0,0,'Invul- en verrekenblad'!B16)</f>
        <v>0</v>
      </c>
      <c r="L12" s="404" t="s">
        <v>195</v>
      </c>
      <c r="M12" s="461">
        <f>Gegevensblad!M12</f>
        <v>903.01067714958174</v>
      </c>
      <c r="N12" s="381">
        <f>IF('Invul- en verrekenblad'!B5="1.1b Net",K12*M12,0)</f>
        <v>0</v>
      </c>
      <c r="O12" s="382"/>
    </row>
    <row r="13" spans="1:15" s="379" customFormat="1" ht="33.75" x14ac:dyDescent="0.2">
      <c r="A13" s="433" t="s">
        <v>200</v>
      </c>
      <c r="B13" s="354" t="s">
        <v>201</v>
      </c>
      <c r="C13" s="354" t="s">
        <v>202</v>
      </c>
      <c r="D13" s="380" t="s">
        <v>194</v>
      </c>
      <c r="E13" s="434" t="s">
        <v>203</v>
      </c>
      <c r="F13" s="434" t="s">
        <v>203</v>
      </c>
      <c r="G13" s="434" t="s">
        <v>203</v>
      </c>
      <c r="H13" s="434" t="s">
        <v>203</v>
      </c>
      <c r="I13" s="434" t="s">
        <v>203</v>
      </c>
      <c r="J13" s="434" t="s">
        <v>203</v>
      </c>
      <c r="K13" s="380" t="b">
        <f>IF(('Invul- en verrekenblad'!B17+'Invul- en verrekenblad'!B18+'Invul- en verrekenblad'!B19+'Invul- en verrekenblad'!B20)&gt;0,0,IF('Invul- en verrekenblad'!B16=1,IF(Variabelen!F9="ja",1,0)))</f>
        <v>0</v>
      </c>
      <c r="L13" s="404" t="s">
        <v>195</v>
      </c>
      <c r="M13" s="461">
        <f>Gegevensblad!M13</f>
        <v>13.93021898974199</v>
      </c>
      <c r="N13" s="381">
        <f>IF('Invul- en verrekenblad'!B5="1.1  Aansluitingen + Net",K13*M13,0)</f>
        <v>0</v>
      </c>
      <c r="O13" s="382"/>
    </row>
    <row r="14" spans="1:15" s="379" customFormat="1" ht="33.75" x14ac:dyDescent="0.2">
      <c r="A14" s="433" t="s">
        <v>314</v>
      </c>
      <c r="B14" s="354" t="s">
        <v>201</v>
      </c>
      <c r="C14" s="354" t="s">
        <v>202</v>
      </c>
      <c r="D14" s="380" t="s">
        <v>194</v>
      </c>
      <c r="E14" s="434" t="s">
        <v>203</v>
      </c>
      <c r="F14" s="434" t="s">
        <v>203</v>
      </c>
      <c r="G14" s="434" t="s">
        <v>203</v>
      </c>
      <c r="H14" s="434" t="s">
        <v>203</v>
      </c>
      <c r="I14" s="434" t="s">
        <v>203</v>
      </c>
      <c r="J14" s="434" t="s">
        <v>203</v>
      </c>
      <c r="K14" s="380" t="b">
        <f>IF(('Invul- en verrekenblad'!B17+'Invul- en verrekenblad'!B18+'Invul- en verrekenblad'!B19+'Invul- en verrekenblad'!B20)&gt;0,0,IF('Invul- en verrekenblad'!B16=1,IF(Variabelen!F9="ja",1,0)))</f>
        <v>0</v>
      </c>
      <c r="L14" s="404" t="s">
        <v>195</v>
      </c>
      <c r="M14" s="461">
        <f>Gegevensblad!M14</f>
        <v>0</v>
      </c>
      <c r="N14" s="381">
        <f>IF('Invul- en verrekenblad'!B5="1.1a Aansluitingen",K14*M14,0)</f>
        <v>0</v>
      </c>
      <c r="O14" s="382"/>
    </row>
    <row r="15" spans="1:15" s="379" customFormat="1" ht="33.75" x14ac:dyDescent="0.2">
      <c r="A15" s="433" t="s">
        <v>315</v>
      </c>
      <c r="B15" s="354" t="s">
        <v>201</v>
      </c>
      <c r="C15" s="354" t="s">
        <v>202</v>
      </c>
      <c r="D15" s="380" t="s">
        <v>194</v>
      </c>
      <c r="E15" s="434" t="s">
        <v>203</v>
      </c>
      <c r="F15" s="434" t="s">
        <v>203</v>
      </c>
      <c r="G15" s="434" t="s">
        <v>203</v>
      </c>
      <c r="H15" s="434" t="s">
        <v>203</v>
      </c>
      <c r="I15" s="434" t="s">
        <v>203</v>
      </c>
      <c r="J15" s="434" t="s">
        <v>203</v>
      </c>
      <c r="K15" s="380" t="b">
        <f>IF(('Invul- en verrekenblad'!B17+'Invul- en verrekenblad'!B18+'Invul- en verrekenblad'!B19+'Invul- en verrekenblad'!B20)&gt;0,0,IF('Invul- en verrekenblad'!B16=1,IF(Variabelen!F9="ja",1,0)))</f>
        <v>0</v>
      </c>
      <c r="L15" s="404" t="s">
        <v>195</v>
      </c>
      <c r="M15" s="461">
        <f>Gegevensblad!M15</f>
        <v>27.860437979483979</v>
      </c>
      <c r="N15" s="381">
        <f>IF('Invul- en verrekenblad'!B5="1.1b Net",K15*M15,0)</f>
        <v>0</v>
      </c>
      <c r="O15" s="382"/>
    </row>
    <row r="16" spans="1:15" s="379" customFormat="1" ht="33.75" x14ac:dyDescent="0.2">
      <c r="A16" s="435" t="s">
        <v>204</v>
      </c>
      <c r="B16" s="354" t="s">
        <v>205</v>
      </c>
      <c r="C16" s="436" t="s">
        <v>206</v>
      </c>
      <c r="D16" s="380" t="s">
        <v>194</v>
      </c>
      <c r="E16" s="380" t="s">
        <v>115</v>
      </c>
      <c r="F16" s="380" t="s">
        <v>115</v>
      </c>
      <c r="G16" s="380" t="s">
        <v>115</v>
      </c>
      <c r="H16" s="380" t="s">
        <v>115</v>
      </c>
      <c r="I16" s="380" t="s">
        <v>115</v>
      </c>
      <c r="J16" s="380" t="s">
        <v>207</v>
      </c>
      <c r="K16" s="380">
        <f>IF(('Invul- en verrekenblad'!B17+'Invul- en verrekenblad'!B18+'Invul- en verrekenblad'!B19+'Invul- en verrekenblad'!B20)&gt;0,0,'Invul- en verrekenblad'!B16)</f>
        <v>0</v>
      </c>
      <c r="L16" s="404" t="s">
        <v>195</v>
      </c>
      <c r="M16" s="461">
        <f>Gegevensblad!M16</f>
        <v>297.67270594861179</v>
      </c>
      <c r="N16" s="381">
        <f>K16*M16</f>
        <v>0</v>
      </c>
      <c r="O16" s="383"/>
    </row>
    <row r="17" spans="1:15" ht="56.25" x14ac:dyDescent="0.2">
      <c r="A17" s="435" t="s">
        <v>208</v>
      </c>
      <c r="B17" s="354" t="s">
        <v>209</v>
      </c>
      <c r="C17" s="437" t="s">
        <v>210</v>
      </c>
      <c r="D17" s="380" t="s">
        <v>194</v>
      </c>
      <c r="E17" s="380" t="s">
        <v>194</v>
      </c>
      <c r="F17" s="380" t="s">
        <v>194</v>
      </c>
      <c r="G17" s="380" t="s">
        <v>115</v>
      </c>
      <c r="H17" s="380" t="s">
        <v>115</v>
      </c>
      <c r="I17" s="380" t="s">
        <v>115</v>
      </c>
      <c r="J17" s="380" t="s">
        <v>207</v>
      </c>
      <c r="K17" s="404"/>
      <c r="L17" s="404" t="s">
        <v>195</v>
      </c>
      <c r="M17" s="461">
        <f>Gegevensblad!M17</f>
        <v>222.88350383587184</v>
      </c>
      <c r="N17" s="458">
        <f>K17*M17</f>
        <v>0</v>
      </c>
      <c r="O17" s="377"/>
    </row>
    <row r="18" spans="1:15" ht="23.25" thickBot="1" x14ac:dyDescent="0.25">
      <c r="A18" s="438" t="s">
        <v>211</v>
      </c>
      <c r="B18" s="356" t="s">
        <v>212</v>
      </c>
      <c r="C18" s="356" t="s">
        <v>213</v>
      </c>
      <c r="D18" s="357" t="s">
        <v>194</v>
      </c>
      <c r="E18" s="357" t="s">
        <v>194</v>
      </c>
      <c r="F18" s="357" t="s">
        <v>194</v>
      </c>
      <c r="G18" s="357" t="s">
        <v>115</v>
      </c>
      <c r="H18" s="357" t="s">
        <v>115</v>
      </c>
      <c r="I18" s="357" t="s">
        <v>115</v>
      </c>
      <c r="J18" s="357" t="s">
        <v>115</v>
      </c>
      <c r="K18" s="405"/>
      <c r="L18" s="405" t="s">
        <v>195</v>
      </c>
      <c r="M18" s="461">
        <f>Gegevensblad!M18</f>
        <v>118.65161551936055</v>
      </c>
      <c r="N18" s="459">
        <f>K18*M18</f>
        <v>0</v>
      </c>
      <c r="O18" s="377"/>
    </row>
    <row r="19" spans="1:15" ht="47.25" thickBot="1" x14ac:dyDescent="0.25">
      <c r="A19" s="439">
        <v>2</v>
      </c>
      <c r="B19" s="330" t="s">
        <v>127</v>
      </c>
      <c r="C19" s="327"/>
      <c r="D19" s="428" t="s">
        <v>313</v>
      </c>
      <c r="E19" s="429" t="s">
        <v>117</v>
      </c>
      <c r="F19" s="429" t="s">
        <v>118</v>
      </c>
      <c r="G19" s="430" t="s">
        <v>119</v>
      </c>
      <c r="H19" s="430" t="s">
        <v>120</v>
      </c>
      <c r="I19" s="431" t="s">
        <v>121</v>
      </c>
      <c r="J19" s="431" t="s">
        <v>122</v>
      </c>
      <c r="K19" s="372"/>
      <c r="L19" s="410" t="s">
        <v>188</v>
      </c>
      <c r="M19" s="415" t="str">
        <f>Gegevensblad!M19</f>
        <v>Subtotaal Mensen</v>
      </c>
      <c r="N19" s="385"/>
      <c r="O19" s="386"/>
    </row>
    <row r="20" spans="1:15" ht="33.75" x14ac:dyDescent="0.25">
      <c r="A20" s="440" t="s">
        <v>214</v>
      </c>
      <c r="B20" s="353" t="s">
        <v>215</v>
      </c>
      <c r="C20" s="353" t="s">
        <v>216</v>
      </c>
      <c r="D20" s="375" t="s">
        <v>194</v>
      </c>
      <c r="E20" s="441" t="s">
        <v>115</v>
      </c>
      <c r="F20" s="441" t="s">
        <v>115</v>
      </c>
      <c r="G20" s="441" t="s">
        <v>115</v>
      </c>
      <c r="H20" s="375" t="s">
        <v>194</v>
      </c>
      <c r="I20" s="375" t="s">
        <v>194</v>
      </c>
      <c r="J20" s="375" t="s">
        <v>194</v>
      </c>
      <c r="K20" s="375">
        <f>'Invul- en verrekenblad'!C16</f>
        <v>0</v>
      </c>
      <c r="L20" s="403" t="s">
        <v>217</v>
      </c>
      <c r="M20" s="409">
        <f>Gegevensblad!M20</f>
        <v>811.64024501280403</v>
      </c>
      <c r="N20" s="387">
        <f t="shared" ref="N20:N26" si="0">K20*M20</f>
        <v>0</v>
      </c>
      <c r="O20" s="377"/>
    </row>
    <row r="21" spans="1:15" ht="33.75" x14ac:dyDescent="0.25">
      <c r="A21" s="442" t="s">
        <v>218</v>
      </c>
      <c r="B21" s="354" t="s">
        <v>219</v>
      </c>
      <c r="C21" s="354" t="s">
        <v>220</v>
      </c>
      <c r="D21" s="380" t="s">
        <v>194</v>
      </c>
      <c r="E21" s="380" t="s">
        <v>194</v>
      </c>
      <c r="F21" s="380" t="s">
        <v>194</v>
      </c>
      <c r="G21" s="380" t="s">
        <v>194</v>
      </c>
      <c r="H21" s="443" t="s">
        <v>115</v>
      </c>
      <c r="I21" s="443" t="s">
        <v>115</v>
      </c>
      <c r="J21" s="443" t="s">
        <v>115</v>
      </c>
      <c r="K21" s="404"/>
      <c r="L21" s="404" t="s">
        <v>217</v>
      </c>
      <c r="M21" s="412">
        <f>Gegevensblad!M21</f>
        <v>811.64024501280403</v>
      </c>
      <c r="N21" s="457">
        <f t="shared" si="0"/>
        <v>0</v>
      </c>
      <c r="O21" s="377"/>
    </row>
    <row r="22" spans="1:15" ht="33.75" x14ac:dyDescent="0.25">
      <c r="A22" s="442" t="s">
        <v>221</v>
      </c>
      <c r="B22" s="354" t="s">
        <v>222</v>
      </c>
      <c r="C22" s="354" t="s">
        <v>223</v>
      </c>
      <c r="D22" s="380" t="s">
        <v>194</v>
      </c>
      <c r="E22" s="380" t="s">
        <v>194</v>
      </c>
      <c r="F22" s="380" t="s">
        <v>115</v>
      </c>
      <c r="G22" s="380" t="s">
        <v>194</v>
      </c>
      <c r="H22" s="443" t="s">
        <v>115</v>
      </c>
      <c r="I22" s="443" t="s">
        <v>115</v>
      </c>
      <c r="J22" s="443" t="s">
        <v>115</v>
      </c>
      <c r="K22" s="380">
        <f>'Invul- en verrekenblad'!C16</f>
        <v>0</v>
      </c>
      <c r="L22" s="404" t="s">
        <v>217</v>
      </c>
      <c r="M22" s="412">
        <f>Gegevensblad!M22</f>
        <v>0</v>
      </c>
      <c r="N22" s="388">
        <f t="shared" si="0"/>
        <v>0</v>
      </c>
      <c r="O22" s="377"/>
    </row>
    <row r="23" spans="1:15" ht="33.75" x14ac:dyDescent="0.25">
      <c r="A23" s="442" t="s">
        <v>224</v>
      </c>
      <c r="B23" s="354" t="s">
        <v>225</v>
      </c>
      <c r="C23" s="354" t="s">
        <v>226</v>
      </c>
      <c r="D23" s="380" t="s">
        <v>194</v>
      </c>
      <c r="E23" s="380" t="s">
        <v>194</v>
      </c>
      <c r="F23" s="380" t="s">
        <v>194</v>
      </c>
      <c r="G23" s="380" t="s">
        <v>194</v>
      </c>
      <c r="H23" s="443" t="s">
        <v>115</v>
      </c>
      <c r="I23" s="443" t="s">
        <v>115</v>
      </c>
      <c r="J23" s="443" t="s">
        <v>115</v>
      </c>
      <c r="K23" s="404"/>
      <c r="L23" s="404" t="s">
        <v>217</v>
      </c>
      <c r="M23" s="412">
        <f>Gegevensblad!M23</f>
        <v>0</v>
      </c>
      <c r="N23" s="457">
        <f t="shared" si="0"/>
        <v>0</v>
      </c>
      <c r="O23" s="377"/>
    </row>
    <row r="24" spans="1:15" ht="33.75" x14ac:dyDescent="0.25">
      <c r="A24" s="442" t="s">
        <v>227</v>
      </c>
      <c r="B24" s="354" t="s">
        <v>228</v>
      </c>
      <c r="C24" s="354" t="s">
        <v>229</v>
      </c>
      <c r="D24" s="380" t="s">
        <v>194</v>
      </c>
      <c r="E24" s="380" t="s">
        <v>115</v>
      </c>
      <c r="F24" s="443" t="s">
        <v>115</v>
      </c>
      <c r="G24" s="443" t="s">
        <v>115</v>
      </c>
      <c r="H24" s="380" t="s">
        <v>194</v>
      </c>
      <c r="I24" s="380" t="s">
        <v>194</v>
      </c>
      <c r="J24" s="380" t="s">
        <v>194</v>
      </c>
      <c r="K24" s="380">
        <f>'Invul- en verrekenblad'!C16</f>
        <v>0</v>
      </c>
      <c r="L24" s="404" t="s">
        <v>217</v>
      </c>
      <c r="M24" s="412">
        <f>Gegevensblad!M24</f>
        <v>49.661587741513571</v>
      </c>
      <c r="N24" s="388">
        <f t="shared" si="0"/>
        <v>0</v>
      </c>
      <c r="O24" s="377"/>
    </row>
    <row r="25" spans="1:15" ht="45" x14ac:dyDescent="0.25">
      <c r="A25" s="442" t="s">
        <v>230</v>
      </c>
      <c r="B25" s="354" t="s">
        <v>231</v>
      </c>
      <c r="C25" s="354" t="s">
        <v>232</v>
      </c>
      <c r="D25" s="380" t="s">
        <v>194</v>
      </c>
      <c r="E25" s="380" t="s">
        <v>194</v>
      </c>
      <c r="F25" s="380" t="s">
        <v>194</v>
      </c>
      <c r="G25" s="380" t="s">
        <v>194</v>
      </c>
      <c r="H25" s="443" t="s">
        <v>115</v>
      </c>
      <c r="I25" s="443" t="s">
        <v>115</v>
      </c>
      <c r="J25" s="443" t="s">
        <v>115</v>
      </c>
      <c r="K25" s="404"/>
      <c r="L25" s="404" t="s">
        <v>217</v>
      </c>
      <c r="M25" s="412">
        <f>Gegevensblad!M25</f>
        <v>60.976513910007291</v>
      </c>
      <c r="N25" s="457">
        <f t="shared" si="0"/>
        <v>0</v>
      </c>
      <c r="O25" s="377"/>
    </row>
    <row r="26" spans="1:15" ht="68.25" thickBot="1" x14ac:dyDescent="0.3">
      <c r="A26" s="444" t="s">
        <v>128</v>
      </c>
      <c r="B26" s="356" t="s">
        <v>233</v>
      </c>
      <c r="C26" s="356" t="s">
        <v>316</v>
      </c>
      <c r="D26" s="357" t="s">
        <v>194</v>
      </c>
      <c r="E26" s="445" t="s">
        <v>203</v>
      </c>
      <c r="F26" s="445" t="s">
        <v>203</v>
      </c>
      <c r="G26" s="445" t="s">
        <v>203</v>
      </c>
      <c r="H26" s="445" t="s">
        <v>203</v>
      </c>
      <c r="I26" s="445" t="s">
        <v>203</v>
      </c>
      <c r="J26" s="445" t="s">
        <v>203</v>
      </c>
      <c r="K26" s="357" t="b">
        <f>IF('Invul- en verrekenblad'!B16=1,IF(Variabelen!F11="ja",1,0))</f>
        <v>0</v>
      </c>
      <c r="L26" s="389" t="s">
        <v>235</v>
      </c>
      <c r="M26" s="390">
        <f>Variabelen!$L$11</f>
        <v>0</v>
      </c>
      <c r="N26" s="391">
        <f t="shared" si="0"/>
        <v>0</v>
      </c>
      <c r="O26" s="377"/>
    </row>
    <row r="27" spans="1:15" ht="47.25" thickBot="1" x14ac:dyDescent="0.25">
      <c r="A27" s="439">
        <v>3</v>
      </c>
      <c r="B27" s="330" t="s">
        <v>236</v>
      </c>
      <c r="C27" s="327"/>
      <c r="D27" s="428" t="s">
        <v>313</v>
      </c>
      <c r="E27" s="429" t="s">
        <v>117</v>
      </c>
      <c r="F27" s="429" t="s">
        <v>118</v>
      </c>
      <c r="G27" s="430" t="s">
        <v>119</v>
      </c>
      <c r="H27" s="430" t="s">
        <v>120</v>
      </c>
      <c r="I27" s="431" t="s">
        <v>121</v>
      </c>
      <c r="J27" s="431" t="s">
        <v>122</v>
      </c>
      <c r="K27" s="372"/>
      <c r="L27" s="372" t="s">
        <v>188</v>
      </c>
      <c r="M27" s="415" t="str">
        <f>Gegevensblad!M27</f>
        <v>Prijs per eenheid (€)</v>
      </c>
      <c r="N27" s="385"/>
      <c r="O27" s="386"/>
    </row>
    <row r="28" spans="1:15" ht="67.5" x14ac:dyDescent="0.25">
      <c r="A28" s="440" t="s">
        <v>237</v>
      </c>
      <c r="B28" s="353" t="s">
        <v>238</v>
      </c>
      <c r="C28" s="353" t="s">
        <v>239</v>
      </c>
      <c r="D28" s="375" t="s">
        <v>194</v>
      </c>
      <c r="E28" s="375" t="s">
        <v>115</v>
      </c>
      <c r="F28" s="375" t="s">
        <v>115</v>
      </c>
      <c r="G28" s="441" t="s">
        <v>115</v>
      </c>
      <c r="H28" s="375" t="s">
        <v>194</v>
      </c>
      <c r="I28" s="375" t="s">
        <v>194</v>
      </c>
      <c r="J28" s="375" t="s">
        <v>194</v>
      </c>
      <c r="K28" s="375">
        <f>IF(('Invul- en verrekenblad'!B17+'Invul- en verrekenblad'!B18+'Invul- en verrekenblad'!B19+'Invul- en verrekenblad'!B20)&gt;0,0,'Invul- en verrekenblad'!B16)</f>
        <v>0</v>
      </c>
      <c r="L28" s="375" t="s">
        <v>195</v>
      </c>
      <c r="M28" s="409">
        <f>Gegevensblad!M28</f>
        <v>620.76984676891959</v>
      </c>
      <c r="N28" s="387">
        <f>K28*M28</f>
        <v>0</v>
      </c>
      <c r="O28" s="377"/>
    </row>
    <row r="29" spans="1:15" ht="90.75" thickBot="1" x14ac:dyDescent="0.3">
      <c r="A29" s="355" t="s">
        <v>240</v>
      </c>
      <c r="B29" s="356" t="s">
        <v>241</v>
      </c>
      <c r="C29" s="356" t="s">
        <v>242</v>
      </c>
      <c r="D29" s="357" t="s">
        <v>194</v>
      </c>
      <c r="E29" s="357" t="s">
        <v>194</v>
      </c>
      <c r="F29" s="357" t="s">
        <v>194</v>
      </c>
      <c r="G29" s="357" t="s">
        <v>194</v>
      </c>
      <c r="H29" s="445" t="s">
        <v>115</v>
      </c>
      <c r="I29" s="445" t="s">
        <v>115</v>
      </c>
      <c r="J29" s="445" t="s">
        <v>115</v>
      </c>
      <c r="K29" s="405"/>
      <c r="L29" s="357" t="s">
        <v>195</v>
      </c>
      <c r="M29" s="419">
        <f>Gegevensblad!M29</f>
        <v>762.2064238750911</v>
      </c>
      <c r="N29" s="455">
        <f>K29*M29</f>
        <v>0</v>
      </c>
      <c r="O29" s="377"/>
    </row>
    <row r="30" spans="1:15" ht="47.25" thickBot="1" x14ac:dyDescent="0.25">
      <c r="A30" s="427">
        <v>4</v>
      </c>
      <c r="B30" s="330" t="s">
        <v>131</v>
      </c>
      <c r="C30" s="327"/>
      <c r="D30" s="428" t="s">
        <v>313</v>
      </c>
      <c r="E30" s="429" t="s">
        <v>117</v>
      </c>
      <c r="F30" s="429" t="s">
        <v>118</v>
      </c>
      <c r="G30" s="430" t="s">
        <v>119</v>
      </c>
      <c r="H30" s="430" t="s">
        <v>120</v>
      </c>
      <c r="I30" s="431" t="s">
        <v>121</v>
      </c>
      <c r="J30" s="431" t="s">
        <v>122</v>
      </c>
      <c r="K30" s="372"/>
      <c r="L30" s="372" t="s">
        <v>188</v>
      </c>
      <c r="M30" s="415" t="str">
        <f>Gegevensblad!M30</f>
        <v>Prijs per eenheid (€)</v>
      </c>
      <c r="N30" s="385"/>
      <c r="O30" s="386"/>
    </row>
    <row r="31" spans="1:15" ht="45" x14ac:dyDescent="0.25">
      <c r="A31" s="446" t="s">
        <v>132</v>
      </c>
      <c r="B31" s="353" t="s">
        <v>133</v>
      </c>
      <c r="C31" s="353" t="s">
        <v>243</v>
      </c>
      <c r="D31" s="375" t="s">
        <v>194</v>
      </c>
      <c r="E31" s="375" t="s">
        <v>194</v>
      </c>
      <c r="F31" s="375" t="s">
        <v>203</v>
      </c>
      <c r="G31" s="375" t="s">
        <v>194</v>
      </c>
      <c r="H31" s="375" t="s">
        <v>203</v>
      </c>
      <c r="I31" s="375" t="s">
        <v>194</v>
      </c>
      <c r="J31" s="375" t="s">
        <v>203</v>
      </c>
      <c r="K31" s="375" t="b">
        <f>IF('Invul- en verrekenblad'!B16=1,IF(Variabelen!F13="ja",1,0))</f>
        <v>0</v>
      </c>
      <c r="L31" s="392" t="s">
        <v>235</v>
      </c>
      <c r="M31" s="390">
        <f>Variabelen!$L$13</f>
        <v>0</v>
      </c>
      <c r="N31" s="387">
        <f>K31*M31</f>
        <v>0</v>
      </c>
      <c r="O31" s="377"/>
    </row>
    <row r="32" spans="1:15" ht="45" x14ac:dyDescent="0.25">
      <c r="A32" s="447" t="s">
        <v>134</v>
      </c>
      <c r="B32" s="354" t="s">
        <v>135</v>
      </c>
      <c r="C32" s="354" t="s">
        <v>243</v>
      </c>
      <c r="D32" s="380" t="s">
        <v>194</v>
      </c>
      <c r="E32" s="380" t="s">
        <v>194</v>
      </c>
      <c r="F32" s="380" t="s">
        <v>203</v>
      </c>
      <c r="G32" s="380" t="s">
        <v>194</v>
      </c>
      <c r="H32" s="380" t="s">
        <v>203</v>
      </c>
      <c r="I32" s="380" t="s">
        <v>194</v>
      </c>
      <c r="J32" s="380" t="s">
        <v>203</v>
      </c>
      <c r="K32" s="380" t="b">
        <f>IF('Invul- en verrekenblad'!B16=1,IF(Variabelen!F14="ja",1,0))</f>
        <v>0</v>
      </c>
      <c r="L32" s="393" t="s">
        <v>235</v>
      </c>
      <c r="M32" s="393">
        <f>Variabelen!$L$14</f>
        <v>0</v>
      </c>
      <c r="N32" s="388">
        <f>K32*M32</f>
        <v>0</v>
      </c>
      <c r="O32" s="377"/>
    </row>
    <row r="33" spans="1:16" ht="45.75" thickBot="1" x14ac:dyDescent="0.3">
      <c r="A33" s="444" t="s">
        <v>136</v>
      </c>
      <c r="B33" s="356" t="s">
        <v>137</v>
      </c>
      <c r="C33" s="356" t="s">
        <v>244</v>
      </c>
      <c r="D33" s="357" t="s">
        <v>194</v>
      </c>
      <c r="E33" s="357" t="s">
        <v>194</v>
      </c>
      <c r="F33" s="357" t="s">
        <v>203</v>
      </c>
      <c r="G33" s="357" t="s">
        <v>194</v>
      </c>
      <c r="H33" s="357" t="s">
        <v>203</v>
      </c>
      <c r="I33" s="357" t="s">
        <v>194</v>
      </c>
      <c r="J33" s="357" t="s">
        <v>203</v>
      </c>
      <c r="K33" s="357" t="b">
        <f>IF('Invul- en verrekenblad'!B16=1,IF(Variabelen!F15="ja",1,0))</f>
        <v>0</v>
      </c>
      <c r="L33" s="390" t="s">
        <v>235</v>
      </c>
      <c r="M33" s="390">
        <f>Variabelen!$L$15</f>
        <v>0</v>
      </c>
      <c r="N33" s="391">
        <f>K33*M33</f>
        <v>0</v>
      </c>
      <c r="O33" s="377"/>
    </row>
    <row r="34" spans="1:16" ht="47.25" thickBot="1" x14ac:dyDescent="0.3">
      <c r="A34" s="427">
        <v>5</v>
      </c>
      <c r="B34" s="493" t="s">
        <v>245</v>
      </c>
      <c r="C34" s="493"/>
      <c r="D34" s="428" t="s">
        <v>313</v>
      </c>
      <c r="E34" s="429" t="s">
        <v>117</v>
      </c>
      <c r="F34" s="429" t="s">
        <v>118</v>
      </c>
      <c r="G34" s="430" t="s">
        <v>119</v>
      </c>
      <c r="H34" s="430" t="s">
        <v>120</v>
      </c>
      <c r="I34" s="431" t="s">
        <v>121</v>
      </c>
      <c r="J34" s="431" t="s">
        <v>122</v>
      </c>
      <c r="K34" s="372"/>
      <c r="L34" s="372" t="s">
        <v>188</v>
      </c>
      <c r="M34" s="415" t="str">
        <f>Gegevensblad!M34</f>
        <v>Prijs per eenheid (€)</v>
      </c>
      <c r="N34" s="385"/>
      <c r="O34" s="386"/>
    </row>
    <row r="35" spans="1:16" ht="33.75" x14ac:dyDescent="0.25">
      <c r="A35" s="440" t="s">
        <v>246</v>
      </c>
      <c r="B35" s="353" t="s">
        <v>247</v>
      </c>
      <c r="C35" s="353" t="s">
        <v>248</v>
      </c>
      <c r="D35" s="375" t="s">
        <v>115</v>
      </c>
      <c r="E35" s="375" t="s">
        <v>115</v>
      </c>
      <c r="F35" s="375" t="s">
        <v>115</v>
      </c>
      <c r="G35" s="375" t="s">
        <v>115</v>
      </c>
      <c r="H35" s="375" t="s">
        <v>115</v>
      </c>
      <c r="I35" s="375" t="s">
        <v>115</v>
      </c>
      <c r="J35" s="375" t="s">
        <v>115</v>
      </c>
      <c r="K35" s="375">
        <f>'Invul- en verrekenblad'!C16</f>
        <v>0</v>
      </c>
      <c r="L35" s="375" t="s">
        <v>217</v>
      </c>
      <c r="M35" s="409">
        <f>Gegevensblad!M35</f>
        <v>0</v>
      </c>
      <c r="N35" s="387">
        <f t="shared" ref="N35:N43" si="1">K35*M35</f>
        <v>0</v>
      </c>
      <c r="O35" s="377"/>
    </row>
    <row r="36" spans="1:16" ht="22.5" x14ac:dyDescent="0.25">
      <c r="A36" s="442" t="s">
        <v>139</v>
      </c>
      <c r="B36" s="354" t="s">
        <v>140</v>
      </c>
      <c r="C36" s="354" t="s">
        <v>249</v>
      </c>
      <c r="D36" s="380" t="s">
        <v>203</v>
      </c>
      <c r="E36" s="380" t="s">
        <v>203</v>
      </c>
      <c r="F36" s="380" t="s">
        <v>203</v>
      </c>
      <c r="G36" s="380" t="s">
        <v>115</v>
      </c>
      <c r="H36" s="380" t="s">
        <v>115</v>
      </c>
      <c r="I36" s="380" t="s">
        <v>115</v>
      </c>
      <c r="J36" s="380" t="s">
        <v>115</v>
      </c>
      <c r="K36" s="380" t="b">
        <f>IF('Invul- en verrekenblad'!B16=1,IF(Variabelen!F17="ja",1,0))</f>
        <v>0</v>
      </c>
      <c r="L36" s="380" t="s">
        <v>250</v>
      </c>
      <c r="M36" s="412">
        <f>Gegevensblad!M36</f>
        <v>9.9831560644368125</v>
      </c>
      <c r="N36" s="388">
        <f t="shared" si="1"/>
        <v>0</v>
      </c>
      <c r="O36" s="377"/>
    </row>
    <row r="37" spans="1:16" ht="33.75" x14ac:dyDescent="0.25">
      <c r="A37" s="447" t="s">
        <v>141</v>
      </c>
      <c r="B37" s="354" t="s">
        <v>251</v>
      </c>
      <c r="C37" s="354" t="s">
        <v>252</v>
      </c>
      <c r="D37" s="380" t="s">
        <v>194</v>
      </c>
      <c r="E37" s="380" t="s">
        <v>194</v>
      </c>
      <c r="F37" s="380" t="s">
        <v>194</v>
      </c>
      <c r="G37" s="434" t="s">
        <v>203</v>
      </c>
      <c r="H37" s="434" t="s">
        <v>203</v>
      </c>
      <c r="I37" s="434" t="s">
        <v>203</v>
      </c>
      <c r="J37" s="434" t="s">
        <v>203</v>
      </c>
      <c r="K37" s="404"/>
      <c r="L37" s="380" t="s">
        <v>217</v>
      </c>
      <c r="M37" s="412">
        <f>Gegevensblad!M37</f>
        <v>152.18225707982944</v>
      </c>
      <c r="N37" s="457">
        <f t="shared" si="1"/>
        <v>0</v>
      </c>
      <c r="O37" s="377"/>
    </row>
    <row r="38" spans="1:16" ht="22.5" x14ac:dyDescent="0.25">
      <c r="A38" s="447" t="s">
        <v>143</v>
      </c>
      <c r="B38" s="354" t="s">
        <v>253</v>
      </c>
      <c r="C38" s="354" t="s">
        <v>254</v>
      </c>
      <c r="D38" s="380" t="s">
        <v>194</v>
      </c>
      <c r="E38" s="380" t="s">
        <v>194</v>
      </c>
      <c r="F38" s="380" t="s">
        <v>194</v>
      </c>
      <c r="G38" s="434" t="s">
        <v>203</v>
      </c>
      <c r="H38" s="434" t="s">
        <v>203</v>
      </c>
      <c r="I38" s="434" t="s">
        <v>203</v>
      </c>
      <c r="J38" s="434" t="s">
        <v>203</v>
      </c>
      <c r="K38" s="406"/>
      <c r="L38" s="394" t="s">
        <v>250</v>
      </c>
      <c r="M38" s="412">
        <f>Gegevensblad!M38</f>
        <v>436.76307781911055</v>
      </c>
      <c r="N38" s="457">
        <f t="shared" si="1"/>
        <v>0</v>
      </c>
      <c r="O38" s="377"/>
    </row>
    <row r="39" spans="1:16" x14ac:dyDescent="0.25">
      <c r="A39" s="442" t="s">
        <v>255</v>
      </c>
      <c r="B39" s="354" t="s">
        <v>256</v>
      </c>
      <c r="C39" s="354" t="s">
        <v>257</v>
      </c>
      <c r="D39" s="380" t="s">
        <v>194</v>
      </c>
      <c r="E39" s="380" t="s">
        <v>115</v>
      </c>
      <c r="F39" s="380" t="s">
        <v>115</v>
      </c>
      <c r="G39" s="380" t="s">
        <v>115</v>
      </c>
      <c r="H39" s="380" t="s">
        <v>115</v>
      </c>
      <c r="I39" s="380" t="s">
        <v>115</v>
      </c>
      <c r="J39" s="380" t="s">
        <v>115</v>
      </c>
      <c r="K39" s="380">
        <f>'Invul- en verrekenblad'!C16</f>
        <v>0</v>
      </c>
      <c r="L39" s="394" t="s">
        <v>217</v>
      </c>
      <c r="M39" s="412">
        <f>Gegevensblad!M39</f>
        <v>12.478945080546016</v>
      </c>
      <c r="N39" s="388">
        <f t="shared" si="1"/>
        <v>0</v>
      </c>
      <c r="O39" s="377"/>
    </row>
    <row r="40" spans="1:16" ht="45" x14ac:dyDescent="0.25">
      <c r="A40" s="447" t="s">
        <v>145</v>
      </c>
      <c r="B40" s="354" t="s">
        <v>146</v>
      </c>
      <c r="C40" s="354" t="s">
        <v>258</v>
      </c>
      <c r="D40" s="380" t="s">
        <v>203</v>
      </c>
      <c r="E40" s="434" t="s">
        <v>203</v>
      </c>
      <c r="F40" s="434" t="s">
        <v>203</v>
      </c>
      <c r="G40" s="434" t="s">
        <v>203</v>
      </c>
      <c r="H40" s="434" t="s">
        <v>203</v>
      </c>
      <c r="I40" s="434" t="s">
        <v>203</v>
      </c>
      <c r="J40" s="434" t="s">
        <v>203</v>
      </c>
      <c r="K40" s="394" t="b">
        <f>IF('Invul- en verrekenblad'!B16=1,IF(Variabelen!F20="ja",'Invul- en verrekenblad'!F16,0))</f>
        <v>0</v>
      </c>
      <c r="L40" s="394" t="s">
        <v>259</v>
      </c>
      <c r="M40" s="412">
        <f>Gegevensblad!M40</f>
        <v>1.1231050572491412</v>
      </c>
      <c r="N40" s="388">
        <f t="shared" si="1"/>
        <v>0</v>
      </c>
      <c r="O40" s="377"/>
    </row>
    <row r="41" spans="1:16" ht="45" x14ac:dyDescent="0.25">
      <c r="A41" s="447" t="s">
        <v>147</v>
      </c>
      <c r="B41" s="354" t="s">
        <v>260</v>
      </c>
      <c r="C41" s="354" t="s">
        <v>261</v>
      </c>
      <c r="D41" s="380" t="s">
        <v>194</v>
      </c>
      <c r="E41" s="434" t="s">
        <v>203</v>
      </c>
      <c r="F41" s="434" t="s">
        <v>203</v>
      </c>
      <c r="G41" s="434" t="s">
        <v>203</v>
      </c>
      <c r="H41" s="434" t="s">
        <v>203</v>
      </c>
      <c r="I41" s="434" t="s">
        <v>203</v>
      </c>
      <c r="J41" s="434" t="s">
        <v>203</v>
      </c>
      <c r="K41" s="380" t="b">
        <f>IF('Invul- en verrekenblad'!B16=1,IF(Variabelen!F21="ja",'Invul- en verrekenblad'!F16*('Invul- en verrekenblad'!C16/5),0))</f>
        <v>0</v>
      </c>
      <c r="L41" s="380" t="s">
        <v>262</v>
      </c>
      <c r="M41" s="412">
        <f>Gegevensblad!M41</f>
        <v>7.045474864806919</v>
      </c>
      <c r="N41" s="388">
        <f t="shared" si="1"/>
        <v>0</v>
      </c>
      <c r="O41" s="377"/>
    </row>
    <row r="42" spans="1:16" ht="56.25" x14ac:dyDescent="0.25">
      <c r="A42" s="447" t="s">
        <v>149</v>
      </c>
      <c r="B42" s="354" t="s">
        <v>263</v>
      </c>
      <c r="C42" s="354" t="s">
        <v>264</v>
      </c>
      <c r="D42" s="380" t="s">
        <v>203</v>
      </c>
      <c r="E42" s="434" t="s">
        <v>203</v>
      </c>
      <c r="F42" s="434" t="s">
        <v>203</v>
      </c>
      <c r="G42" s="434" t="s">
        <v>203</v>
      </c>
      <c r="H42" s="434" t="s">
        <v>203</v>
      </c>
      <c r="I42" s="434" t="s">
        <v>203</v>
      </c>
      <c r="J42" s="434" t="s">
        <v>203</v>
      </c>
      <c r="K42" s="395" t="b">
        <f>IF('Invul- en verrekenblad'!B16=1,IF(Variabelen!F22="ja",'Invul- en verrekenblad'!F16/3.5*('Invul- en verrekenblad'!C16/5),0))</f>
        <v>0</v>
      </c>
      <c r="L42" s="380" t="s">
        <v>265</v>
      </c>
      <c r="M42" s="412">
        <f>Gegevensblad!M42</f>
        <v>8.4545698377683021</v>
      </c>
      <c r="N42" s="388">
        <f t="shared" si="1"/>
        <v>0</v>
      </c>
      <c r="O42" s="377"/>
    </row>
    <row r="43" spans="1:16" ht="23.25" thickBot="1" x14ac:dyDescent="0.3">
      <c r="A43" s="447" t="s">
        <v>151</v>
      </c>
      <c r="B43" s="354" t="s">
        <v>266</v>
      </c>
      <c r="C43" s="354" t="s">
        <v>267</v>
      </c>
      <c r="D43" s="380" t="s">
        <v>203</v>
      </c>
      <c r="E43" s="434" t="s">
        <v>203</v>
      </c>
      <c r="F43" s="434" t="s">
        <v>203</v>
      </c>
      <c r="G43" s="434" t="s">
        <v>203</v>
      </c>
      <c r="H43" s="434" t="s">
        <v>203</v>
      </c>
      <c r="I43" s="434" t="s">
        <v>203</v>
      </c>
      <c r="J43" s="434" t="s">
        <v>203</v>
      </c>
      <c r="K43" s="380" t="b">
        <f>IF('Invul- en verrekenblad'!B16=1,IF(OR(Variabelen!F21="ja",Variabelen!F22="ja"),Variabelen!F23,0))</f>
        <v>0</v>
      </c>
      <c r="L43" s="380" t="s">
        <v>268</v>
      </c>
      <c r="M43" s="412">
        <f>Gegevensblad!M43</f>
        <v>450.91039134764281</v>
      </c>
      <c r="N43" s="388">
        <f t="shared" si="1"/>
        <v>0</v>
      </c>
      <c r="O43" s="377"/>
    </row>
    <row r="44" spans="1:16" ht="47.25" thickBot="1" x14ac:dyDescent="0.25">
      <c r="A44" s="427">
        <v>6</v>
      </c>
      <c r="B44" s="330" t="s">
        <v>155</v>
      </c>
      <c r="C44" s="327"/>
      <c r="D44" s="428" t="s">
        <v>313</v>
      </c>
      <c r="E44" s="429" t="s">
        <v>117</v>
      </c>
      <c r="F44" s="429" t="s">
        <v>118</v>
      </c>
      <c r="G44" s="430" t="s">
        <v>119</v>
      </c>
      <c r="H44" s="430" t="s">
        <v>120</v>
      </c>
      <c r="I44" s="431" t="s">
        <v>121</v>
      </c>
      <c r="J44" s="431" t="s">
        <v>122</v>
      </c>
      <c r="K44" s="372"/>
      <c r="L44" s="372" t="s">
        <v>188</v>
      </c>
      <c r="M44" s="410" t="str">
        <f>Gegevensblad!M45</f>
        <v>Prijs per eenheid (€)</v>
      </c>
      <c r="N44" s="385"/>
      <c r="O44" s="386"/>
    </row>
    <row r="45" spans="1:16" ht="22.5" x14ac:dyDescent="0.25">
      <c r="A45" s="440" t="s">
        <v>270</v>
      </c>
      <c r="B45" s="353" t="s">
        <v>271</v>
      </c>
      <c r="C45" s="353" t="s">
        <v>272</v>
      </c>
      <c r="D45" s="375" t="s">
        <v>194</v>
      </c>
      <c r="E45" s="375" t="s">
        <v>115</v>
      </c>
      <c r="F45" s="375" t="s">
        <v>115</v>
      </c>
      <c r="G45" s="375" t="s">
        <v>194</v>
      </c>
      <c r="H45" s="375" t="s">
        <v>194</v>
      </c>
      <c r="I45" s="375" t="s">
        <v>194</v>
      </c>
      <c r="J45" s="375" t="s">
        <v>194</v>
      </c>
      <c r="K45" s="375">
        <f>'Invul- en verrekenblad'!E16</f>
        <v>0</v>
      </c>
      <c r="L45" s="375" t="s">
        <v>217</v>
      </c>
      <c r="M45" s="403">
        <f>Gegevensblad!M46</f>
        <v>0</v>
      </c>
      <c r="N45" s="387">
        <f t="shared" ref="N45:N50" si="2">K45*M45</f>
        <v>0</v>
      </c>
      <c r="O45" s="377"/>
    </row>
    <row r="46" spans="1:16" ht="45" x14ac:dyDescent="0.25">
      <c r="A46" s="447" t="s">
        <v>156</v>
      </c>
      <c r="B46" s="354" t="s">
        <v>157</v>
      </c>
      <c r="C46" s="354" t="s">
        <v>317</v>
      </c>
      <c r="D46" s="380" t="s">
        <v>194</v>
      </c>
      <c r="E46" s="434" t="s">
        <v>203</v>
      </c>
      <c r="F46" s="434" t="s">
        <v>203</v>
      </c>
      <c r="G46" s="380" t="s">
        <v>203</v>
      </c>
      <c r="H46" s="380" t="s">
        <v>115</v>
      </c>
      <c r="I46" s="380" t="s">
        <v>115</v>
      </c>
      <c r="J46" s="380" t="s">
        <v>115</v>
      </c>
      <c r="K46" s="380" t="b">
        <f>IF('Invul- en verrekenblad'!B16=1,IF(Variabelen!F26="ja",'Invul- en verrekenblad'!C16*'Invul- en verrekenblad'!E16,0))</f>
        <v>0</v>
      </c>
      <c r="L46" s="380" t="s">
        <v>217</v>
      </c>
      <c r="M46" s="464">
        <f>Gegevensblad!M47</f>
        <v>129.6367375124473</v>
      </c>
      <c r="N46" s="388">
        <f t="shared" si="2"/>
        <v>0</v>
      </c>
      <c r="O46" s="377"/>
    </row>
    <row r="47" spans="1:16" ht="33.75" x14ac:dyDescent="0.25">
      <c r="A47" s="447" t="s">
        <v>158</v>
      </c>
      <c r="B47" s="354" t="s">
        <v>159</v>
      </c>
      <c r="C47" s="354" t="s">
        <v>318</v>
      </c>
      <c r="D47" s="380" t="s">
        <v>194</v>
      </c>
      <c r="E47" s="380" t="s">
        <v>194</v>
      </c>
      <c r="F47" s="380" t="s">
        <v>194</v>
      </c>
      <c r="G47" s="380" t="s">
        <v>194</v>
      </c>
      <c r="H47" s="434" t="s">
        <v>203</v>
      </c>
      <c r="I47" s="380" t="s">
        <v>194</v>
      </c>
      <c r="J47" s="434" t="s">
        <v>203</v>
      </c>
      <c r="K47" s="404"/>
      <c r="L47" s="390" t="s">
        <v>235</v>
      </c>
      <c r="M47" s="390">
        <f>Variabelen!$L$27</f>
        <v>0</v>
      </c>
      <c r="N47" s="457">
        <f t="shared" si="2"/>
        <v>0</v>
      </c>
      <c r="O47" s="377"/>
      <c r="P47" s="400"/>
    </row>
    <row r="48" spans="1:16" ht="22.5" x14ac:dyDescent="0.25">
      <c r="A48" s="447" t="s">
        <v>160</v>
      </c>
      <c r="B48" s="354" t="s">
        <v>275</v>
      </c>
      <c r="C48" s="354" t="s">
        <v>276</v>
      </c>
      <c r="D48" s="380" t="s">
        <v>194</v>
      </c>
      <c r="E48" s="434" t="s">
        <v>203</v>
      </c>
      <c r="F48" s="434" t="s">
        <v>203</v>
      </c>
      <c r="G48" s="434" t="s">
        <v>203</v>
      </c>
      <c r="H48" s="434" t="s">
        <v>203</v>
      </c>
      <c r="I48" s="434" t="s">
        <v>203</v>
      </c>
      <c r="J48" s="434" t="s">
        <v>203</v>
      </c>
      <c r="K48" s="380" t="b">
        <f>IF('Invul- en verrekenblad'!B16=1,IF(Variabelen!F28="ja",Variabelen!L28,0))</f>
        <v>0</v>
      </c>
      <c r="L48" s="380" t="s">
        <v>162</v>
      </c>
      <c r="M48" s="464">
        <f>Gegevensblad!M49</f>
        <v>5.0727419026609821</v>
      </c>
      <c r="N48" s="388">
        <f t="shared" si="2"/>
        <v>0</v>
      </c>
      <c r="O48" s="377"/>
    </row>
    <row r="49" spans="1:15" ht="22.5" x14ac:dyDescent="0.25">
      <c r="A49" s="447" t="s">
        <v>163</v>
      </c>
      <c r="B49" s="354" t="s">
        <v>164</v>
      </c>
      <c r="C49" s="354" t="s">
        <v>277</v>
      </c>
      <c r="D49" s="380" t="s">
        <v>194</v>
      </c>
      <c r="E49" s="434" t="s">
        <v>203</v>
      </c>
      <c r="F49" s="434" t="s">
        <v>203</v>
      </c>
      <c r="G49" s="434" t="s">
        <v>203</v>
      </c>
      <c r="H49" s="434" t="s">
        <v>203</v>
      </c>
      <c r="I49" s="434" t="s">
        <v>203</v>
      </c>
      <c r="J49" s="434" t="s">
        <v>203</v>
      </c>
      <c r="K49" s="380" t="b">
        <f>IF('Invul- en verrekenblad'!B16=1,IF(Variabelen!F29="ja",1,0))</f>
        <v>0</v>
      </c>
      <c r="L49" s="393" t="s">
        <v>235</v>
      </c>
      <c r="M49" s="392">
        <f>Variabelen!$L$29</f>
        <v>0</v>
      </c>
      <c r="N49" s="388">
        <f t="shared" si="2"/>
        <v>0</v>
      </c>
      <c r="O49" s="377"/>
    </row>
    <row r="50" spans="1:15" ht="12" thickBot="1" x14ac:dyDescent="0.3">
      <c r="A50" s="355" t="s">
        <v>278</v>
      </c>
      <c r="B50" s="356" t="s">
        <v>279</v>
      </c>
      <c r="C50" s="356" t="s">
        <v>280</v>
      </c>
      <c r="D50" s="357" t="s">
        <v>194</v>
      </c>
      <c r="E50" s="357" t="s">
        <v>115</v>
      </c>
      <c r="F50" s="357" t="s">
        <v>115</v>
      </c>
      <c r="G50" s="357" t="s">
        <v>115</v>
      </c>
      <c r="H50" s="357" t="s">
        <v>115</v>
      </c>
      <c r="I50" s="357" t="s">
        <v>115</v>
      </c>
      <c r="J50" s="357" t="s">
        <v>115</v>
      </c>
      <c r="K50" s="357">
        <f>'Invul- en verrekenblad'!E16</f>
        <v>0</v>
      </c>
      <c r="L50" s="357" t="s">
        <v>281</v>
      </c>
      <c r="M50" s="465">
        <f>Gegevensblad!M51</f>
        <v>38.9967033767063</v>
      </c>
      <c r="N50" s="391">
        <f t="shared" si="2"/>
        <v>0</v>
      </c>
      <c r="O50" s="377"/>
    </row>
    <row r="51" spans="1:15" ht="47.25" thickBot="1" x14ac:dyDescent="0.25">
      <c r="A51" s="427">
        <v>7</v>
      </c>
      <c r="B51" s="330" t="s">
        <v>165</v>
      </c>
      <c r="C51" s="327"/>
      <c r="D51" s="428" t="s">
        <v>313</v>
      </c>
      <c r="E51" s="429" t="s">
        <v>117</v>
      </c>
      <c r="F51" s="429" t="s">
        <v>118</v>
      </c>
      <c r="G51" s="430" t="s">
        <v>119</v>
      </c>
      <c r="H51" s="430" t="s">
        <v>120</v>
      </c>
      <c r="I51" s="431" t="s">
        <v>121</v>
      </c>
      <c r="J51" s="431" t="s">
        <v>122</v>
      </c>
      <c r="K51" s="372"/>
      <c r="L51" s="372" t="s">
        <v>188</v>
      </c>
      <c r="M51" s="410" t="str">
        <f>Gegevensblad!M52</f>
        <v>Prijs per eenheid (€)</v>
      </c>
      <c r="N51" s="385"/>
      <c r="O51" s="386"/>
    </row>
    <row r="52" spans="1:15" ht="78.75" x14ac:dyDescent="0.25">
      <c r="A52" s="440" t="s">
        <v>282</v>
      </c>
      <c r="B52" s="353" t="s">
        <v>283</v>
      </c>
      <c r="C52" s="353" t="s">
        <v>284</v>
      </c>
      <c r="D52" s="375" t="s">
        <v>194</v>
      </c>
      <c r="E52" s="375" t="s">
        <v>115</v>
      </c>
      <c r="F52" s="375" t="s">
        <v>115</v>
      </c>
      <c r="G52" s="375" t="s">
        <v>115</v>
      </c>
      <c r="H52" s="375" t="s">
        <v>115</v>
      </c>
      <c r="I52" s="375" t="s">
        <v>115</v>
      </c>
      <c r="J52" s="375" t="s">
        <v>115</v>
      </c>
      <c r="K52" s="375">
        <f>'Invul- en verrekenblad'!C16*'Invul- en verrekenblad'!D16</f>
        <v>0</v>
      </c>
      <c r="L52" s="375" t="s">
        <v>217</v>
      </c>
      <c r="M52" s="466">
        <f>Gegevensblad!M53</f>
        <v>15.218225707982945</v>
      </c>
      <c r="N52" s="387">
        <f>K52*M52</f>
        <v>0</v>
      </c>
      <c r="O52" s="377"/>
    </row>
    <row r="53" spans="1:15" ht="56.25" x14ac:dyDescent="0.25">
      <c r="A53" s="447" t="s">
        <v>166</v>
      </c>
      <c r="B53" s="354" t="s">
        <v>167</v>
      </c>
      <c r="C53" s="354" t="s">
        <v>319</v>
      </c>
      <c r="D53" s="380" t="s">
        <v>194</v>
      </c>
      <c r="E53" s="434" t="s">
        <v>203</v>
      </c>
      <c r="F53" s="380" t="s">
        <v>115</v>
      </c>
      <c r="G53" s="434" t="s">
        <v>203</v>
      </c>
      <c r="H53" s="380" t="s">
        <v>115</v>
      </c>
      <c r="I53" s="434" t="s">
        <v>203</v>
      </c>
      <c r="J53" s="380" t="s">
        <v>115</v>
      </c>
      <c r="K53" s="380">
        <f>'Invul- en verrekenblad'!C16*'Invul- en verrekenblad'!D16</f>
        <v>0</v>
      </c>
      <c r="L53" s="380" t="s">
        <v>217</v>
      </c>
      <c r="M53" s="464">
        <f>Gegevensblad!M54</f>
        <v>18.036415653905713</v>
      </c>
      <c r="N53" s="388">
        <f>K53*M53</f>
        <v>0</v>
      </c>
      <c r="O53" s="377"/>
    </row>
    <row r="54" spans="1:15" ht="45" x14ac:dyDescent="0.25">
      <c r="A54" s="447" t="s">
        <v>168</v>
      </c>
      <c r="B54" s="354" t="s">
        <v>169</v>
      </c>
      <c r="C54" s="354" t="s">
        <v>320</v>
      </c>
      <c r="D54" s="380" t="s">
        <v>194</v>
      </c>
      <c r="E54" s="434" t="s">
        <v>203</v>
      </c>
      <c r="F54" s="434" t="s">
        <v>203</v>
      </c>
      <c r="G54" s="434" t="s">
        <v>203</v>
      </c>
      <c r="H54" s="434" t="s">
        <v>203</v>
      </c>
      <c r="I54" s="434" t="s">
        <v>203</v>
      </c>
      <c r="J54" s="434" t="s">
        <v>203</v>
      </c>
      <c r="K54" s="380" t="b">
        <f>IF('Invul- en verrekenblad'!B16=1,IF(Variabelen!F32="ja",1,0))</f>
        <v>0</v>
      </c>
      <c r="L54" s="393" t="s">
        <v>235</v>
      </c>
      <c r="M54" s="392">
        <f>Variabelen!$L$32</f>
        <v>0</v>
      </c>
      <c r="N54" s="388">
        <f>K54*M54</f>
        <v>0</v>
      </c>
      <c r="O54" s="377"/>
    </row>
    <row r="55" spans="1:15" ht="23.25" thickBot="1" x14ac:dyDescent="0.3">
      <c r="A55" s="444" t="s">
        <v>170</v>
      </c>
      <c r="B55" s="356" t="s">
        <v>171</v>
      </c>
      <c r="C55" s="356" t="s">
        <v>287</v>
      </c>
      <c r="D55" s="357" t="s">
        <v>194</v>
      </c>
      <c r="E55" s="357" t="s">
        <v>194</v>
      </c>
      <c r="F55" s="357" t="s">
        <v>194</v>
      </c>
      <c r="G55" s="357" t="s">
        <v>194</v>
      </c>
      <c r="H55" s="357" t="s">
        <v>194</v>
      </c>
      <c r="I55" s="357" t="s">
        <v>194</v>
      </c>
      <c r="J55" s="445" t="s">
        <v>203</v>
      </c>
      <c r="K55" s="405"/>
      <c r="L55" s="390" t="s">
        <v>235</v>
      </c>
      <c r="M55" s="392">
        <f>Variabelen!$L$33</f>
        <v>0</v>
      </c>
      <c r="N55" s="455">
        <f>K55*M55</f>
        <v>0</v>
      </c>
      <c r="O55" s="377"/>
    </row>
    <row r="56" spans="1:15" ht="47.25" thickBot="1" x14ac:dyDescent="0.3">
      <c r="A56" s="427">
        <v>8</v>
      </c>
      <c r="B56" s="330" t="s">
        <v>288</v>
      </c>
      <c r="C56" s="330"/>
      <c r="D56" s="428" t="s">
        <v>313</v>
      </c>
      <c r="E56" s="429" t="s">
        <v>117</v>
      </c>
      <c r="F56" s="429" t="s">
        <v>118</v>
      </c>
      <c r="G56" s="430" t="s">
        <v>119</v>
      </c>
      <c r="H56" s="430" t="s">
        <v>120</v>
      </c>
      <c r="I56" s="431" t="s">
        <v>121</v>
      </c>
      <c r="J56" s="431" t="s">
        <v>122</v>
      </c>
      <c r="K56" s="372"/>
      <c r="L56" s="372" t="s">
        <v>188</v>
      </c>
      <c r="M56" s="410" t="str">
        <f>Gegevensblad!M57</f>
        <v>Prijs per eenheid (€)</v>
      </c>
      <c r="N56" s="385"/>
      <c r="O56" s="386"/>
    </row>
    <row r="57" spans="1:15" ht="56.25" x14ac:dyDescent="0.25">
      <c r="A57" s="440" t="s">
        <v>289</v>
      </c>
      <c r="B57" s="353" t="s">
        <v>290</v>
      </c>
      <c r="C57" s="353" t="s">
        <v>321</v>
      </c>
      <c r="D57" s="375" t="s">
        <v>115</v>
      </c>
      <c r="E57" s="375" t="s">
        <v>194</v>
      </c>
      <c r="F57" s="375" t="s">
        <v>194</v>
      </c>
      <c r="G57" s="375" t="s">
        <v>194</v>
      </c>
      <c r="H57" s="375" t="s">
        <v>194</v>
      </c>
      <c r="I57" s="375" t="s">
        <v>194</v>
      </c>
      <c r="J57" s="375" t="s">
        <v>194</v>
      </c>
      <c r="K57" s="403"/>
      <c r="L57" s="375" t="s">
        <v>292</v>
      </c>
      <c r="M57" s="466">
        <f>Gegevensblad!M58</f>
        <v>111.44175191793592</v>
      </c>
      <c r="N57" s="456">
        <f t="shared" ref="N57:N63" si="3">K57*M57</f>
        <v>0</v>
      </c>
      <c r="O57" s="377"/>
    </row>
    <row r="58" spans="1:15" ht="22.5" x14ac:dyDescent="0.25">
      <c r="A58" s="442" t="s">
        <v>293</v>
      </c>
      <c r="B58" s="354" t="s">
        <v>294</v>
      </c>
      <c r="C58" s="354" t="s">
        <v>295</v>
      </c>
      <c r="D58" s="434" t="s">
        <v>115</v>
      </c>
      <c r="E58" s="434" t="s">
        <v>115</v>
      </c>
      <c r="F58" s="434" t="s">
        <v>115</v>
      </c>
      <c r="G58" s="434" t="s">
        <v>115</v>
      </c>
      <c r="H58" s="434" t="s">
        <v>115</v>
      </c>
      <c r="I58" s="434" t="s">
        <v>115</v>
      </c>
      <c r="J58" s="434" t="s">
        <v>115</v>
      </c>
      <c r="K58" s="380" t="b">
        <f>IF(('Invul- en verrekenblad'!B17+'Invul- en verrekenblad'!B18+'Invul- en verrekenblad'!B19+'Invul- en verrekenblad'!B20)&gt;0,0,IF('Invul- en verrekenblad'!B6="ja",IF('Invul- en verrekenblad'!B16=1,1,0)))</f>
        <v>0</v>
      </c>
      <c r="L58" s="380" t="s">
        <v>292</v>
      </c>
      <c r="M58" s="464">
        <f>Gegevensblad!M59</f>
        <v>696.51094948709942</v>
      </c>
      <c r="N58" s="388">
        <f>IF('Invul- en verrekenblad'!B14=1,0,K58*M58)</f>
        <v>0</v>
      </c>
      <c r="O58" s="377"/>
    </row>
    <row r="59" spans="1:15" ht="45" x14ac:dyDescent="0.25">
      <c r="A59" s="447" t="s">
        <v>173</v>
      </c>
      <c r="B59" s="354" t="s">
        <v>174</v>
      </c>
      <c r="C59" s="354" t="s">
        <v>296</v>
      </c>
      <c r="D59" s="434" t="s">
        <v>203</v>
      </c>
      <c r="E59" s="434" t="s">
        <v>203</v>
      </c>
      <c r="F59" s="434" t="s">
        <v>203</v>
      </c>
      <c r="G59" s="434" t="s">
        <v>203</v>
      </c>
      <c r="H59" s="434" t="s">
        <v>203</v>
      </c>
      <c r="I59" s="434" t="s">
        <v>203</v>
      </c>
      <c r="J59" s="434" t="s">
        <v>203</v>
      </c>
      <c r="K59" s="380" t="b">
        <f>IF('Invul- en verrekenblad'!B16=1,IF('Invul- en verrekenblad'!B6="ja",IF(Variabelen!F35="ja",1,0)))</f>
        <v>0</v>
      </c>
      <c r="L59" s="393" t="s">
        <v>235</v>
      </c>
      <c r="M59" s="392">
        <f>Variabelen!$L$35</f>
        <v>0</v>
      </c>
      <c r="N59" s="388">
        <f t="shared" si="3"/>
        <v>0</v>
      </c>
      <c r="O59" s="377"/>
    </row>
    <row r="60" spans="1:15" ht="45" x14ac:dyDescent="0.25">
      <c r="A60" s="447" t="s">
        <v>175</v>
      </c>
      <c r="B60" s="354" t="s">
        <v>176</v>
      </c>
      <c r="C60" s="354" t="s">
        <v>296</v>
      </c>
      <c r="D60" s="434" t="s">
        <v>203</v>
      </c>
      <c r="E60" s="434" t="s">
        <v>203</v>
      </c>
      <c r="F60" s="434" t="s">
        <v>203</v>
      </c>
      <c r="G60" s="434" t="s">
        <v>203</v>
      </c>
      <c r="H60" s="434" t="s">
        <v>203</v>
      </c>
      <c r="I60" s="434" t="s">
        <v>203</v>
      </c>
      <c r="J60" s="434" t="s">
        <v>203</v>
      </c>
      <c r="K60" s="380" t="b">
        <f>IF('Invul- en verrekenblad'!B16=1,IF('Invul- en verrekenblad'!B6="ja",IF(Variabelen!F36="ja",1,0)))</f>
        <v>0</v>
      </c>
      <c r="L60" s="393" t="s">
        <v>235</v>
      </c>
      <c r="M60" s="392">
        <f>Variabelen!$L$36</f>
        <v>0</v>
      </c>
      <c r="N60" s="388">
        <f t="shared" si="3"/>
        <v>0</v>
      </c>
      <c r="O60" s="377"/>
    </row>
    <row r="61" spans="1:15" ht="33.75" x14ac:dyDescent="0.25">
      <c r="A61" s="447" t="s">
        <v>177</v>
      </c>
      <c r="B61" s="354" t="s">
        <v>297</v>
      </c>
      <c r="C61" s="354" t="s">
        <v>298</v>
      </c>
      <c r="D61" s="434" t="s">
        <v>203</v>
      </c>
      <c r="E61" s="434" t="s">
        <v>203</v>
      </c>
      <c r="F61" s="434" t="s">
        <v>203</v>
      </c>
      <c r="G61" s="434" t="s">
        <v>203</v>
      </c>
      <c r="H61" s="434" t="s">
        <v>203</v>
      </c>
      <c r="I61" s="434" t="s">
        <v>203</v>
      </c>
      <c r="J61" s="434" t="s">
        <v>203</v>
      </c>
      <c r="K61" s="380" t="b">
        <f>IF('Invul- en verrekenblad'!B16=1,IF('Invul- en verrekenblad'!B6="ja",IF(Variabelen!F37="ja",1,0)))</f>
        <v>0</v>
      </c>
      <c r="L61" s="380" t="s">
        <v>292</v>
      </c>
      <c r="M61" s="464">
        <f>Gegevensblad!M62</f>
        <v>55.720875958967959</v>
      </c>
      <c r="N61" s="388">
        <f t="shared" si="3"/>
        <v>0</v>
      </c>
      <c r="O61" s="377"/>
    </row>
    <row r="62" spans="1:15" ht="33.75" x14ac:dyDescent="0.25">
      <c r="A62" s="447" t="s">
        <v>179</v>
      </c>
      <c r="B62" s="354" t="s">
        <v>299</v>
      </c>
      <c r="C62" s="354" t="s">
        <v>300</v>
      </c>
      <c r="D62" s="434" t="s">
        <v>203</v>
      </c>
      <c r="E62" s="434" t="s">
        <v>203</v>
      </c>
      <c r="F62" s="434" t="s">
        <v>203</v>
      </c>
      <c r="G62" s="434" t="s">
        <v>203</v>
      </c>
      <c r="H62" s="434" t="s">
        <v>203</v>
      </c>
      <c r="I62" s="434" t="s">
        <v>203</v>
      </c>
      <c r="J62" s="434" t="s">
        <v>203</v>
      </c>
      <c r="K62" s="380" t="b">
        <f>IF('Invul- en verrekenblad'!B16=1,IF('Invul- en verrekenblad'!B6="ja",IF(Variabelen!F38="ja",1,0)))</f>
        <v>0</v>
      </c>
      <c r="L62" s="380" t="s">
        <v>292</v>
      </c>
      <c r="M62" s="464">
        <f>Gegevensblad!M63</f>
        <v>111.44175191793592</v>
      </c>
      <c r="N62" s="388">
        <f t="shared" si="3"/>
        <v>0</v>
      </c>
      <c r="O62" s="377"/>
    </row>
    <row r="63" spans="1:15" ht="23.25" thickBot="1" x14ac:dyDescent="0.3">
      <c r="A63" s="444" t="s">
        <v>181</v>
      </c>
      <c r="B63" s="356" t="s">
        <v>324</v>
      </c>
      <c r="C63" s="356" t="s">
        <v>325</v>
      </c>
      <c r="D63" s="445" t="s">
        <v>203</v>
      </c>
      <c r="E63" s="357" t="s">
        <v>194</v>
      </c>
      <c r="F63" s="357" t="s">
        <v>194</v>
      </c>
      <c r="G63" s="357" t="s">
        <v>194</v>
      </c>
      <c r="H63" s="357" t="s">
        <v>194</v>
      </c>
      <c r="I63" s="357" t="s">
        <v>194</v>
      </c>
      <c r="J63" s="357" t="s">
        <v>194</v>
      </c>
      <c r="K63" s="405"/>
      <c r="L63" s="357" t="s">
        <v>217</v>
      </c>
      <c r="M63" s="465">
        <f>Gegevensblad!M64</f>
        <v>428.10847288998912</v>
      </c>
      <c r="N63" s="455">
        <f t="shared" si="3"/>
        <v>0</v>
      </c>
      <c r="O63" s="377"/>
    </row>
    <row r="64" spans="1:15" ht="47.25" thickBot="1" x14ac:dyDescent="0.25">
      <c r="A64" s="427">
        <v>9</v>
      </c>
      <c r="B64" s="330" t="s">
        <v>304</v>
      </c>
      <c r="C64" s="327"/>
      <c r="D64" s="428" t="s">
        <v>313</v>
      </c>
      <c r="E64" s="429" t="s">
        <v>117</v>
      </c>
      <c r="F64" s="429" t="s">
        <v>118</v>
      </c>
      <c r="G64" s="430" t="s">
        <v>119</v>
      </c>
      <c r="H64" s="430" t="s">
        <v>120</v>
      </c>
      <c r="I64" s="431" t="s">
        <v>121</v>
      </c>
      <c r="J64" s="431" t="s">
        <v>122</v>
      </c>
      <c r="K64" s="372"/>
      <c r="L64" s="372" t="s">
        <v>188</v>
      </c>
      <c r="M64" s="410" t="str">
        <f>Gegevensblad!M65</f>
        <v>Prijs per eenheid (€)</v>
      </c>
      <c r="N64" s="385"/>
      <c r="O64" s="386"/>
    </row>
    <row r="65" spans="1:15" ht="45" x14ac:dyDescent="0.25">
      <c r="A65" s="440" t="s">
        <v>305</v>
      </c>
      <c r="B65" s="353" t="s">
        <v>306</v>
      </c>
      <c r="C65" s="353" t="s">
        <v>307</v>
      </c>
      <c r="D65" s="375" t="s">
        <v>194</v>
      </c>
      <c r="E65" s="375" t="s">
        <v>194</v>
      </c>
      <c r="F65" s="375" t="s">
        <v>194</v>
      </c>
      <c r="G65" s="375" t="s">
        <v>115</v>
      </c>
      <c r="H65" s="375" t="s">
        <v>115</v>
      </c>
      <c r="I65" s="375" t="s">
        <v>115</v>
      </c>
      <c r="J65" s="375" t="s">
        <v>115</v>
      </c>
      <c r="K65" s="404"/>
      <c r="L65" s="463" t="s">
        <v>308</v>
      </c>
      <c r="M65" s="466">
        <f>Gegevensblad!M66</f>
        <v>50.727419026609816</v>
      </c>
      <c r="N65" s="456"/>
      <c r="O65" s="377"/>
    </row>
    <row r="66" spans="1:15" s="452" customFormat="1" ht="45.75" thickBot="1" x14ac:dyDescent="0.3">
      <c r="A66" s="448" t="s">
        <v>309</v>
      </c>
      <c r="B66" s="449" t="s">
        <v>310</v>
      </c>
      <c r="C66" s="449" t="s">
        <v>311</v>
      </c>
      <c r="D66" s="450" t="s">
        <v>194</v>
      </c>
      <c r="E66" s="450" t="s">
        <v>115</v>
      </c>
      <c r="F66" s="450" t="s">
        <v>115</v>
      </c>
      <c r="G66" s="450" t="s">
        <v>115</v>
      </c>
      <c r="H66" s="450" t="s">
        <v>115</v>
      </c>
      <c r="I66" s="450" t="s">
        <v>115</v>
      </c>
      <c r="J66" s="450" t="s">
        <v>115</v>
      </c>
      <c r="K66" s="450">
        <f>'Invul- en verrekenblad'!C16*('Invul- en verrekenblad'!D16+'Invul- en verrekenblad'!E16)</f>
        <v>0</v>
      </c>
      <c r="L66" s="451" t="s">
        <v>308</v>
      </c>
      <c r="M66" s="467">
        <f>Gegevensblad!M67</f>
        <v>108.36954890453575</v>
      </c>
      <c r="N66" s="398">
        <f>K66*M66</f>
        <v>0</v>
      </c>
    </row>
    <row r="67" spans="1:15" ht="15.75" x14ac:dyDescent="0.25">
      <c r="D67" s="454" t="s">
        <v>115</v>
      </c>
      <c r="E67" s="454" t="s">
        <v>115</v>
      </c>
      <c r="F67" s="454" t="s">
        <v>115</v>
      </c>
      <c r="G67" s="454" t="s">
        <v>115</v>
      </c>
      <c r="H67" s="454" t="s">
        <v>115</v>
      </c>
      <c r="I67" s="454" t="s">
        <v>115</v>
      </c>
      <c r="J67" s="454" t="s">
        <v>115</v>
      </c>
      <c r="N67" s="402">
        <f>SUBTOTAL(9,N10:N66)</f>
        <v>0</v>
      </c>
    </row>
  </sheetData>
  <sheetProtection algorithmName="SHA-512" hashValue="O/tkSHguKKdNyVyXrldNJixZi4TtYLg38EP13jXoYl/SC2df4hns29YtqVirkxlrya7CngpDegeQf2rT9obvIA==" saltValue="VQzIFK/FlXqTcUpmtrGWxQ==" spinCount="100000" sheet="1" selectLockedCells="1"/>
  <autoFilter ref="A8:N8" xr:uid="{00000000-0001-0000-0500-000000000000}">
    <filterColumn colId="3" showButton="0"/>
    <filterColumn colId="4" showButton="0"/>
    <filterColumn colId="5" showButton="0"/>
    <filterColumn colId="6" showButton="0"/>
    <filterColumn colId="7" showButton="0"/>
    <filterColumn colId="8" showButton="0"/>
    <filterColumn colId="11" showButton="0"/>
  </autoFilter>
  <mergeCells count="3">
    <mergeCell ref="D8:J8"/>
    <mergeCell ref="L8:M8"/>
    <mergeCell ref="B34:C34"/>
  </mergeCells>
  <conditionalFormatting sqref="D16:D18 E16:J66">
    <cfRule type="containsText" dxfId="80" priority="25" operator="containsText" text="nee">
      <formula>NOT(ISERROR(SEARCH("nee",D16)))</formula>
    </cfRule>
    <cfRule type="containsText" dxfId="79" priority="26" operator="containsText" text="optie">
      <formula>NOT(ISERROR(SEARCH("optie",D16)))</formula>
    </cfRule>
    <cfRule type="containsText" dxfId="78" priority="27" operator="containsText" text="ja">
      <formula>NOT(ISERROR(SEARCH("ja",D16)))</formula>
    </cfRule>
  </conditionalFormatting>
  <conditionalFormatting sqref="D20:D26 D28:D29 D31:D33 D52:D55 D57:D63 D65:D66">
    <cfRule type="containsText" dxfId="77" priority="28" operator="containsText" text="nee">
      <formula>NOT(ISERROR(SEARCH("nee",D20)))</formula>
    </cfRule>
    <cfRule type="containsText" dxfId="76" priority="29" operator="containsText" text="optie">
      <formula>NOT(ISERROR(SEARCH("optie",D20)))</formula>
    </cfRule>
    <cfRule type="containsText" dxfId="75" priority="30" operator="containsText" text="ja">
      <formula>NOT(ISERROR(SEARCH("ja",D20)))</formula>
    </cfRule>
  </conditionalFormatting>
  <conditionalFormatting sqref="D35:D43">
    <cfRule type="containsText" dxfId="74" priority="16" operator="containsText" text="nee">
      <formula>NOT(ISERROR(SEARCH("nee",D35)))</formula>
    </cfRule>
    <cfRule type="containsText" dxfId="73" priority="17" operator="containsText" text="optie">
      <formula>NOT(ISERROR(SEARCH("optie",D35)))</formula>
    </cfRule>
    <cfRule type="containsText" dxfId="72" priority="18" operator="containsText" text="ja">
      <formula>NOT(ISERROR(SEARCH("ja",D35)))</formula>
    </cfRule>
  </conditionalFormatting>
  <conditionalFormatting sqref="D45:D50">
    <cfRule type="containsText" dxfId="71" priority="10" operator="containsText" text="nee">
      <formula>NOT(ISERROR(SEARCH("nee",D45)))</formula>
    </cfRule>
    <cfRule type="containsText" dxfId="70" priority="11" operator="containsText" text="optie">
      <formula>NOT(ISERROR(SEARCH("optie",D45)))</formula>
    </cfRule>
    <cfRule type="containsText" dxfId="69" priority="12" operator="containsText" text="ja">
      <formula>NOT(ISERROR(SEARCH("ja",D45)))</formula>
    </cfRule>
  </conditionalFormatting>
  <conditionalFormatting sqref="D10:J15">
    <cfRule type="containsText" dxfId="68" priority="1" operator="containsText" text="nee">
      <formula>NOT(ISERROR(SEARCH("nee",D10)))</formula>
    </cfRule>
    <cfRule type="containsText" dxfId="67" priority="2" operator="containsText" text="optie">
      <formula>NOT(ISERROR(SEARCH("optie",D10)))</formula>
    </cfRule>
    <cfRule type="containsText" dxfId="66" priority="3" operator="containsText" text="ja">
      <formula>NOT(ISERROR(SEARCH("ja",D10)))</formula>
    </cfRule>
  </conditionalFormatting>
  <pageMargins left="0.25" right="0.25" top="0.75" bottom="0.75" header="0.3" footer="0.3"/>
  <pageSetup paperSize="8"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tabColor rgb="FFFF0000"/>
    <pageSetUpPr fitToPage="1"/>
  </sheetPr>
  <dimension ref="A1:R67"/>
  <sheetViews>
    <sheetView showGridLines="0" zoomScaleNormal="100" workbookViewId="0">
      <pane xSplit="2" ySplit="8" topLeftCell="C9" activePane="bottomRight" state="frozen"/>
      <selection pane="topRight" activeCell="U28" sqref="U28"/>
      <selection pane="bottomLeft" activeCell="U28" sqref="U28"/>
      <selection pane="bottomRight" activeCell="K2" sqref="K2"/>
    </sheetView>
  </sheetViews>
  <sheetFormatPr defaultColWidth="8.7109375" defaultRowHeight="11.25" outlineLevelCol="1" x14ac:dyDescent="0.25"/>
  <cols>
    <col min="1" max="1" width="12.7109375" style="378" customWidth="1"/>
    <col min="2" max="2" width="43.140625" style="378" customWidth="1"/>
    <col min="3" max="3" width="45.5703125" style="378" customWidth="1"/>
    <col min="4" max="6" width="3.7109375" style="378" hidden="1" customWidth="1" outlineLevel="1"/>
    <col min="7" max="7" width="3.7109375" style="378" customWidth="1" outlineLevel="1"/>
    <col min="8" max="10" width="3.7109375" style="378" hidden="1" customWidth="1" outlineLevel="1"/>
    <col min="11" max="12" width="9.7109375" style="400" customWidth="1"/>
    <col min="13" max="13" width="10.42578125" style="411" customWidth="1"/>
    <col min="14" max="14" width="13.7109375" style="401" bestFit="1" customWidth="1"/>
    <col min="15" max="15" width="8.42578125" style="399" customWidth="1"/>
    <col min="16" max="16384" width="8.7109375" style="378"/>
  </cols>
  <sheetData>
    <row r="1" spans="1:15" s="365" customFormat="1" ht="23.25" x14ac:dyDescent="0.35">
      <c r="A1" s="318" t="s">
        <v>66</v>
      </c>
      <c r="B1" s="318"/>
      <c r="C1" s="318"/>
      <c r="D1" s="318"/>
      <c r="E1" s="318"/>
      <c r="F1" s="318"/>
      <c r="G1" s="318"/>
      <c r="H1" s="318"/>
      <c r="I1" s="318"/>
      <c r="J1" s="318"/>
      <c r="K1" s="318"/>
      <c r="L1" s="275"/>
      <c r="M1" s="275"/>
      <c r="N1" s="318"/>
      <c r="O1" s="364"/>
    </row>
    <row r="2" spans="1:15" s="366" customFormat="1" x14ac:dyDescent="0.25">
      <c r="A2" s="319" t="s">
        <v>114</v>
      </c>
      <c r="L2" s="413"/>
      <c r="M2" s="414"/>
      <c r="N2" s="367"/>
    </row>
    <row r="3" spans="1:15" s="366" customFormat="1" ht="12.75" x14ac:dyDescent="0.25">
      <c r="A3" s="366" t="s">
        <v>72</v>
      </c>
      <c r="B3" s="320" t="str" cm="1">
        <f t="array" ref="B3:C3">'Invul- en verrekenblad'!E5:F5</f>
        <v>CROW400 Definitief versie 1.3 - 2026</v>
      </c>
      <c r="C3" s="366">
        <v>0</v>
      </c>
      <c r="L3" s="413"/>
      <c r="M3" s="414"/>
      <c r="N3" s="367"/>
    </row>
    <row r="4" spans="1:15" s="366" customFormat="1" x14ac:dyDescent="0.25">
      <c r="A4" s="366" t="s">
        <v>74</v>
      </c>
      <c r="B4" s="422">
        <f>'Invul- en verrekenblad'!E6</f>
        <v>46119</v>
      </c>
      <c r="L4" s="413"/>
      <c r="M4" s="414"/>
      <c r="N4" s="367"/>
    </row>
    <row r="5" spans="1:15" s="366" customFormat="1" x14ac:dyDescent="0.25">
      <c r="A5" s="366" t="s">
        <v>76</v>
      </c>
      <c r="B5" s="322" t="str">
        <f>'Invul- en verrekenblad'!E7</f>
        <v>Alliander SRM Sourcing - Contractmanagement Aannemerij</v>
      </c>
      <c r="L5" s="413"/>
      <c r="M5" s="414"/>
      <c r="N5" s="367"/>
    </row>
    <row r="6" spans="1:15" s="366" customFormat="1" ht="18.75" x14ac:dyDescent="0.3">
      <c r="B6" s="468" t="s">
        <v>326</v>
      </c>
      <c r="C6" s="422"/>
      <c r="L6" s="413"/>
      <c r="M6" s="414"/>
      <c r="N6" s="367"/>
    </row>
    <row r="7" spans="1:15" s="365" customFormat="1" ht="12" thickBot="1" x14ac:dyDescent="0.25">
      <c r="C7" s="424"/>
      <c r="L7" s="276"/>
      <c r="M7" s="279"/>
      <c r="N7" s="369"/>
    </row>
    <row r="8" spans="1:15" s="365" customFormat="1" ht="12" thickBot="1" x14ac:dyDescent="0.25">
      <c r="A8" s="425" t="s">
        <v>184</v>
      </c>
      <c r="B8" s="426" t="s">
        <v>185</v>
      </c>
      <c r="C8" s="426" t="s">
        <v>186</v>
      </c>
      <c r="D8" s="491"/>
      <c r="E8" s="491"/>
      <c r="F8" s="491"/>
      <c r="G8" s="491"/>
      <c r="H8" s="491"/>
      <c r="I8" s="491"/>
      <c r="J8" s="491"/>
      <c r="K8" s="328"/>
      <c r="L8" s="492"/>
      <c r="M8" s="492"/>
      <c r="N8" s="370"/>
      <c r="O8" s="371"/>
    </row>
    <row r="9" spans="1:15" s="365" customFormat="1" ht="47.25" thickBot="1" x14ac:dyDescent="0.25">
      <c r="A9" s="427">
        <v>1</v>
      </c>
      <c r="B9" s="330" t="s">
        <v>124</v>
      </c>
      <c r="C9" s="327"/>
      <c r="D9" s="428" t="s">
        <v>313</v>
      </c>
      <c r="E9" s="429" t="s">
        <v>117</v>
      </c>
      <c r="F9" s="429" t="s">
        <v>118</v>
      </c>
      <c r="G9" s="430" t="s">
        <v>119</v>
      </c>
      <c r="H9" s="430" t="s">
        <v>120</v>
      </c>
      <c r="I9" s="431" t="s">
        <v>121</v>
      </c>
      <c r="J9" s="431" t="s">
        <v>122</v>
      </c>
      <c r="K9" s="372" t="s">
        <v>187</v>
      </c>
      <c r="L9" s="410" t="s">
        <v>188</v>
      </c>
      <c r="M9" s="415" t="s">
        <v>189</v>
      </c>
      <c r="N9" s="373" t="s">
        <v>190</v>
      </c>
      <c r="O9" s="374"/>
    </row>
    <row r="10" spans="1:15" s="379" customFormat="1" ht="33.75" x14ac:dyDescent="0.2">
      <c r="A10" s="432" t="s">
        <v>191</v>
      </c>
      <c r="B10" s="353" t="s">
        <v>192</v>
      </c>
      <c r="C10" s="353" t="s">
        <v>193</v>
      </c>
      <c r="D10" s="375" t="s">
        <v>194</v>
      </c>
      <c r="E10" s="375" t="s">
        <v>115</v>
      </c>
      <c r="F10" s="375" t="s">
        <v>115</v>
      </c>
      <c r="G10" s="375" t="s">
        <v>115</v>
      </c>
      <c r="H10" s="375" t="s">
        <v>115</v>
      </c>
      <c r="I10" s="375" t="s">
        <v>115</v>
      </c>
      <c r="J10" s="375" t="s">
        <v>115</v>
      </c>
      <c r="K10" s="375">
        <f>IF(('Invul- en verrekenblad'!B18+'Invul- en verrekenblad'!B19+'Invul- en verrekenblad'!B20)&gt;0,0,'Invul- en verrekenblad'!B17)</f>
        <v>0</v>
      </c>
      <c r="L10" s="403" t="s">
        <v>195</v>
      </c>
      <c r="M10" s="416">
        <f>Gegevensblad!M10</f>
        <v>788.15229749355558</v>
      </c>
      <c r="N10" s="376">
        <f>IF('Invul- en verrekenblad'!B5="1.1  Aansluitingen + Net",K10*M10,0)</f>
        <v>0</v>
      </c>
      <c r="O10" s="377"/>
    </row>
    <row r="11" spans="1:15" s="379" customFormat="1" ht="33.75" x14ac:dyDescent="0.2">
      <c r="A11" s="433" t="s">
        <v>196</v>
      </c>
      <c r="B11" s="354" t="s">
        <v>197</v>
      </c>
      <c r="C11" s="354" t="s">
        <v>193</v>
      </c>
      <c r="D11" s="380" t="s">
        <v>194</v>
      </c>
      <c r="E11" s="380" t="s">
        <v>115</v>
      </c>
      <c r="F11" s="380" t="s">
        <v>115</v>
      </c>
      <c r="G11" s="380" t="s">
        <v>115</v>
      </c>
      <c r="H11" s="380" t="s">
        <v>115</v>
      </c>
      <c r="I11" s="380" t="s">
        <v>115</v>
      </c>
      <c r="J11" s="380" t="s">
        <v>115</v>
      </c>
      <c r="K11" s="380">
        <f>IF(('Invul- en verrekenblad'!B18+'Invul- en verrekenblad'!B19+'Invul- en verrekenblad'!B20)&gt;0,0,'Invul- en verrekenblad'!B17)</f>
        <v>0</v>
      </c>
      <c r="L11" s="404" t="s">
        <v>195</v>
      </c>
      <c r="M11" s="461">
        <f>Gegevensblad!M11</f>
        <v>685.99735823544768</v>
      </c>
      <c r="N11" s="381">
        <f>IF('Invul- en verrekenblad'!B5="1.1a Aansluitingen",K11*M11,0)</f>
        <v>0</v>
      </c>
    </row>
    <row r="12" spans="1:15" s="379" customFormat="1" ht="33.75" x14ac:dyDescent="0.2">
      <c r="A12" s="433" t="s">
        <v>198</v>
      </c>
      <c r="B12" s="354" t="s">
        <v>199</v>
      </c>
      <c r="C12" s="354" t="s">
        <v>193</v>
      </c>
      <c r="D12" s="380" t="s">
        <v>194</v>
      </c>
      <c r="E12" s="380" t="s">
        <v>115</v>
      </c>
      <c r="F12" s="380" t="s">
        <v>115</v>
      </c>
      <c r="G12" s="380" t="s">
        <v>115</v>
      </c>
      <c r="H12" s="380" t="s">
        <v>115</v>
      </c>
      <c r="I12" s="380" t="s">
        <v>115</v>
      </c>
      <c r="J12" s="380" t="s">
        <v>115</v>
      </c>
      <c r="K12" s="380">
        <f>IF(('Invul- en verrekenblad'!B18+'Invul- en verrekenblad'!B19+'Invul- en verrekenblad'!B20)&gt;0,0,'Invul- en verrekenblad'!B17)</f>
        <v>0</v>
      </c>
      <c r="L12" s="404" t="s">
        <v>195</v>
      </c>
      <c r="M12" s="461">
        <f>Gegevensblad!M12</f>
        <v>903.01067714958174</v>
      </c>
      <c r="N12" s="381">
        <f>IF('Invul- en verrekenblad'!B5="1.1b Net",K12*M12,0)</f>
        <v>0</v>
      </c>
      <c r="O12" s="382"/>
    </row>
    <row r="13" spans="1:15" s="379" customFormat="1" ht="33.75" x14ac:dyDescent="0.2">
      <c r="A13" s="433" t="s">
        <v>200</v>
      </c>
      <c r="B13" s="354" t="s">
        <v>201</v>
      </c>
      <c r="C13" s="354" t="s">
        <v>202</v>
      </c>
      <c r="D13" s="380" t="s">
        <v>194</v>
      </c>
      <c r="E13" s="434" t="s">
        <v>203</v>
      </c>
      <c r="F13" s="434" t="s">
        <v>203</v>
      </c>
      <c r="G13" s="434" t="s">
        <v>203</v>
      </c>
      <c r="H13" s="434" t="s">
        <v>203</v>
      </c>
      <c r="I13" s="434" t="s">
        <v>203</v>
      </c>
      <c r="J13" s="434" t="s">
        <v>203</v>
      </c>
      <c r="K13" s="380" t="b">
        <f>IF(('Invul- en verrekenblad'!B18+'Invul- en verrekenblad'!B19+'Invul- en verrekenblad'!B20)&gt;0,0,IF('Invul- en verrekenblad'!B17=1,IF(Variabelen!G9="ja",1,0)))</f>
        <v>0</v>
      </c>
      <c r="L13" s="404" t="s">
        <v>195</v>
      </c>
      <c r="M13" s="461">
        <f>Gegevensblad!M13</f>
        <v>13.93021898974199</v>
      </c>
      <c r="N13" s="381">
        <f>IF('Invul- en verrekenblad'!B5="1.1  Aansluitingen + Net",K13*M13,0)</f>
        <v>0</v>
      </c>
      <c r="O13" s="382"/>
    </row>
    <row r="14" spans="1:15" s="379" customFormat="1" ht="33.75" x14ac:dyDescent="0.2">
      <c r="A14" s="433" t="s">
        <v>314</v>
      </c>
      <c r="B14" s="354" t="s">
        <v>201</v>
      </c>
      <c r="C14" s="354" t="s">
        <v>202</v>
      </c>
      <c r="D14" s="380" t="s">
        <v>194</v>
      </c>
      <c r="E14" s="434" t="s">
        <v>203</v>
      </c>
      <c r="F14" s="434" t="s">
        <v>203</v>
      </c>
      <c r="G14" s="434" t="s">
        <v>203</v>
      </c>
      <c r="H14" s="434" t="s">
        <v>203</v>
      </c>
      <c r="I14" s="434" t="s">
        <v>203</v>
      </c>
      <c r="J14" s="434" t="s">
        <v>203</v>
      </c>
      <c r="K14" s="380" t="b">
        <f>IF(('Invul- en verrekenblad'!B18+'Invul- en verrekenblad'!B19+'Invul- en verrekenblad'!B20)&gt;0,0,IF('Invul- en verrekenblad'!B17=1,IF(Variabelen!G9="ja",1,0)))</f>
        <v>0</v>
      </c>
      <c r="L14" s="404" t="s">
        <v>195</v>
      </c>
      <c r="M14" s="461">
        <f>Gegevensblad!M14</f>
        <v>0</v>
      </c>
      <c r="N14" s="381">
        <f>IF('Invul- en verrekenblad'!B5="1.1a Aansluitingen",K14*M14,0)</f>
        <v>0</v>
      </c>
      <c r="O14" s="382"/>
    </row>
    <row r="15" spans="1:15" s="379" customFormat="1" ht="33.75" x14ac:dyDescent="0.2">
      <c r="A15" s="433" t="s">
        <v>315</v>
      </c>
      <c r="B15" s="354" t="s">
        <v>201</v>
      </c>
      <c r="C15" s="354" t="s">
        <v>202</v>
      </c>
      <c r="D15" s="380" t="s">
        <v>194</v>
      </c>
      <c r="E15" s="434" t="s">
        <v>203</v>
      </c>
      <c r="F15" s="434" t="s">
        <v>203</v>
      </c>
      <c r="G15" s="434" t="s">
        <v>203</v>
      </c>
      <c r="H15" s="434" t="s">
        <v>203</v>
      </c>
      <c r="I15" s="434" t="s">
        <v>203</v>
      </c>
      <c r="J15" s="434" t="s">
        <v>203</v>
      </c>
      <c r="K15" s="380" t="b">
        <f>IF(('Invul- en verrekenblad'!B18+'Invul- en verrekenblad'!B19+'Invul- en verrekenblad'!B20)&gt;0,0,IF('Invul- en verrekenblad'!B17=1,IF(Variabelen!G9="ja",1,0)))</f>
        <v>0</v>
      </c>
      <c r="L15" s="404" t="s">
        <v>195</v>
      </c>
      <c r="M15" s="461">
        <f>Gegevensblad!M15</f>
        <v>27.860437979483979</v>
      </c>
      <c r="N15" s="381">
        <f>IF('Invul- en verrekenblad'!B5="1.1b Net",K15*M15,0)</f>
        <v>0</v>
      </c>
      <c r="O15" s="382"/>
    </row>
    <row r="16" spans="1:15" s="379" customFormat="1" ht="33.75" x14ac:dyDescent="0.2">
      <c r="A16" s="435" t="s">
        <v>204</v>
      </c>
      <c r="B16" s="354" t="s">
        <v>205</v>
      </c>
      <c r="C16" s="436" t="s">
        <v>206</v>
      </c>
      <c r="D16" s="380" t="s">
        <v>194</v>
      </c>
      <c r="E16" s="380" t="s">
        <v>115</v>
      </c>
      <c r="F16" s="380" t="s">
        <v>115</v>
      </c>
      <c r="G16" s="380" t="s">
        <v>115</v>
      </c>
      <c r="H16" s="380" t="s">
        <v>115</v>
      </c>
      <c r="I16" s="380" t="s">
        <v>115</v>
      </c>
      <c r="J16" s="380" t="s">
        <v>207</v>
      </c>
      <c r="K16" s="380">
        <f>IF(('Invul- en verrekenblad'!B18+'Invul- en verrekenblad'!B19+'Invul- en verrekenblad'!B20)&gt;0,0,'Invul- en verrekenblad'!B17)</f>
        <v>0</v>
      </c>
      <c r="L16" s="404" t="s">
        <v>195</v>
      </c>
      <c r="M16" s="461">
        <f>Gegevensblad!M16</f>
        <v>297.67270594861179</v>
      </c>
      <c r="N16" s="381">
        <f>K16*M16</f>
        <v>0</v>
      </c>
      <c r="O16" s="383"/>
    </row>
    <row r="17" spans="1:18" ht="56.25" x14ac:dyDescent="0.2">
      <c r="A17" s="435" t="s">
        <v>208</v>
      </c>
      <c r="B17" s="354" t="s">
        <v>209</v>
      </c>
      <c r="C17" s="436" t="s">
        <v>327</v>
      </c>
      <c r="D17" s="380" t="s">
        <v>194</v>
      </c>
      <c r="E17" s="380" t="s">
        <v>194</v>
      </c>
      <c r="F17" s="380" t="s">
        <v>194</v>
      </c>
      <c r="G17" s="380" t="s">
        <v>115</v>
      </c>
      <c r="H17" s="380" t="s">
        <v>115</v>
      </c>
      <c r="I17" s="380" t="s">
        <v>115</v>
      </c>
      <c r="J17" s="380" t="s">
        <v>207</v>
      </c>
      <c r="K17" s="380">
        <f>IF(('Invul- en verrekenblad'!B18+'Invul- en verrekenblad'!B19+'Invul- en verrekenblad'!B20)&gt;0,0,'Invul- en verrekenblad'!B17)</f>
        <v>0</v>
      </c>
      <c r="L17" s="404" t="s">
        <v>195</v>
      </c>
      <c r="M17" s="461">
        <f>Gegevensblad!M17</f>
        <v>222.88350383587184</v>
      </c>
      <c r="N17" s="381">
        <f>K17*M17</f>
        <v>0</v>
      </c>
      <c r="O17" s="377"/>
      <c r="P17" s="379"/>
      <c r="Q17" s="379"/>
      <c r="R17" s="379"/>
    </row>
    <row r="18" spans="1:18" ht="23.25" thickBot="1" x14ac:dyDescent="0.25">
      <c r="A18" s="438" t="s">
        <v>211</v>
      </c>
      <c r="B18" s="356" t="s">
        <v>212</v>
      </c>
      <c r="C18" s="356" t="s">
        <v>328</v>
      </c>
      <c r="D18" s="357" t="s">
        <v>194</v>
      </c>
      <c r="E18" s="357" t="s">
        <v>194</v>
      </c>
      <c r="F18" s="357" t="s">
        <v>194</v>
      </c>
      <c r="G18" s="357" t="s">
        <v>115</v>
      </c>
      <c r="H18" s="357" t="s">
        <v>115</v>
      </c>
      <c r="I18" s="357" t="s">
        <v>115</v>
      </c>
      <c r="J18" s="357" t="s">
        <v>115</v>
      </c>
      <c r="K18" s="357">
        <f>IF(('Invul- en verrekenblad'!B18+'Invul- en verrekenblad'!B19+'Invul- en verrekenblad'!B20)&gt;0,0,'Invul- en verrekenblad'!B17)</f>
        <v>0</v>
      </c>
      <c r="L18" s="405" t="s">
        <v>195</v>
      </c>
      <c r="M18" s="462">
        <f>Gegevensblad!M18</f>
        <v>118.65161551936055</v>
      </c>
      <c r="N18" s="384">
        <f>K18*M18</f>
        <v>0</v>
      </c>
      <c r="O18" s="377"/>
      <c r="P18" s="379"/>
      <c r="Q18" s="379"/>
      <c r="R18" s="379"/>
    </row>
    <row r="19" spans="1:18" ht="47.25" thickBot="1" x14ac:dyDescent="0.25">
      <c r="A19" s="439">
        <v>2</v>
      </c>
      <c r="B19" s="330" t="s">
        <v>127</v>
      </c>
      <c r="C19" s="327"/>
      <c r="D19" s="428" t="s">
        <v>313</v>
      </c>
      <c r="E19" s="429" t="s">
        <v>117</v>
      </c>
      <c r="F19" s="429" t="s">
        <v>118</v>
      </c>
      <c r="G19" s="430" t="s">
        <v>119</v>
      </c>
      <c r="H19" s="430" t="s">
        <v>120</v>
      </c>
      <c r="I19" s="431" t="s">
        <v>121</v>
      </c>
      <c r="J19" s="431" t="s">
        <v>122</v>
      </c>
      <c r="K19" s="372"/>
      <c r="L19" s="410" t="s">
        <v>188</v>
      </c>
      <c r="M19" s="415" t="str">
        <f>Gegevensblad!M19</f>
        <v>Subtotaal Mensen</v>
      </c>
      <c r="N19" s="385"/>
      <c r="O19" s="386"/>
    </row>
    <row r="20" spans="1:18" ht="33.75" x14ac:dyDescent="0.2">
      <c r="A20" s="440" t="s">
        <v>214</v>
      </c>
      <c r="B20" s="353" t="s">
        <v>215</v>
      </c>
      <c r="C20" s="353" t="s">
        <v>216</v>
      </c>
      <c r="D20" s="375" t="s">
        <v>194</v>
      </c>
      <c r="E20" s="441" t="s">
        <v>115</v>
      </c>
      <c r="F20" s="441" t="s">
        <v>115</v>
      </c>
      <c r="G20" s="441" t="s">
        <v>115</v>
      </c>
      <c r="H20" s="375" t="s">
        <v>194</v>
      </c>
      <c r="I20" s="375" t="s">
        <v>194</v>
      </c>
      <c r="J20" s="375" t="s">
        <v>194</v>
      </c>
      <c r="K20" s="375">
        <f>'Invul- en verrekenblad'!C17</f>
        <v>0</v>
      </c>
      <c r="L20" s="403" t="s">
        <v>217</v>
      </c>
      <c r="M20" s="409">
        <f>Gegevensblad!M20</f>
        <v>811.64024501280403</v>
      </c>
      <c r="N20" s="387">
        <f t="shared" ref="N20:N26" si="0">K20*M20</f>
        <v>0</v>
      </c>
      <c r="O20" s="377"/>
      <c r="P20" s="379"/>
      <c r="Q20" s="379"/>
      <c r="R20" s="379"/>
    </row>
    <row r="21" spans="1:18" ht="33.75" x14ac:dyDescent="0.2">
      <c r="A21" s="442" t="s">
        <v>218</v>
      </c>
      <c r="B21" s="354" t="s">
        <v>219</v>
      </c>
      <c r="C21" s="354" t="s">
        <v>220</v>
      </c>
      <c r="D21" s="380" t="s">
        <v>194</v>
      </c>
      <c r="E21" s="380" t="s">
        <v>194</v>
      </c>
      <c r="F21" s="380" t="s">
        <v>194</v>
      </c>
      <c r="G21" s="380" t="s">
        <v>194</v>
      </c>
      <c r="H21" s="443" t="s">
        <v>115</v>
      </c>
      <c r="I21" s="443" t="s">
        <v>115</v>
      </c>
      <c r="J21" s="443" t="s">
        <v>115</v>
      </c>
      <c r="K21" s="404"/>
      <c r="L21" s="404" t="s">
        <v>217</v>
      </c>
      <c r="M21" s="412">
        <f>Gegevensblad!M21</f>
        <v>811.64024501280403</v>
      </c>
      <c r="N21" s="457">
        <f t="shared" si="0"/>
        <v>0</v>
      </c>
      <c r="O21" s="377"/>
      <c r="P21" s="379"/>
      <c r="Q21" s="379"/>
      <c r="R21" s="379"/>
    </row>
    <row r="22" spans="1:18" ht="33.75" x14ac:dyDescent="0.2">
      <c r="A22" s="442" t="s">
        <v>221</v>
      </c>
      <c r="B22" s="354" t="s">
        <v>222</v>
      </c>
      <c r="C22" s="354" t="s">
        <v>223</v>
      </c>
      <c r="D22" s="380" t="s">
        <v>194</v>
      </c>
      <c r="E22" s="380" t="s">
        <v>194</v>
      </c>
      <c r="F22" s="380" t="s">
        <v>194</v>
      </c>
      <c r="G22" s="380" t="s">
        <v>115</v>
      </c>
      <c r="H22" s="443" t="s">
        <v>115</v>
      </c>
      <c r="I22" s="443" t="s">
        <v>115</v>
      </c>
      <c r="J22" s="443" t="s">
        <v>115</v>
      </c>
      <c r="K22" s="380">
        <f>'Invul- en verrekenblad'!C17</f>
        <v>0</v>
      </c>
      <c r="L22" s="404" t="s">
        <v>217</v>
      </c>
      <c r="M22" s="412">
        <f>Gegevensblad!M22</f>
        <v>0</v>
      </c>
      <c r="N22" s="388">
        <f t="shared" si="0"/>
        <v>0</v>
      </c>
      <c r="O22" s="377"/>
      <c r="P22" s="379"/>
      <c r="Q22" s="379"/>
      <c r="R22" s="379"/>
    </row>
    <row r="23" spans="1:18" ht="33.75" x14ac:dyDescent="0.2">
      <c r="A23" s="442" t="s">
        <v>224</v>
      </c>
      <c r="B23" s="354" t="s">
        <v>225</v>
      </c>
      <c r="C23" s="354" t="s">
        <v>226</v>
      </c>
      <c r="D23" s="380" t="s">
        <v>194</v>
      </c>
      <c r="E23" s="380" t="s">
        <v>194</v>
      </c>
      <c r="F23" s="380" t="s">
        <v>194</v>
      </c>
      <c r="G23" s="380" t="s">
        <v>194</v>
      </c>
      <c r="H23" s="443" t="s">
        <v>115</v>
      </c>
      <c r="I23" s="443" t="s">
        <v>115</v>
      </c>
      <c r="J23" s="443" t="s">
        <v>115</v>
      </c>
      <c r="K23" s="404"/>
      <c r="L23" s="404" t="s">
        <v>217</v>
      </c>
      <c r="M23" s="412">
        <f>Gegevensblad!M23</f>
        <v>0</v>
      </c>
      <c r="N23" s="457">
        <f t="shared" si="0"/>
        <v>0</v>
      </c>
      <c r="O23" s="377"/>
      <c r="P23" s="379"/>
      <c r="Q23" s="379"/>
      <c r="R23" s="379"/>
    </row>
    <row r="24" spans="1:18" ht="33.75" x14ac:dyDescent="0.2">
      <c r="A24" s="442" t="s">
        <v>227</v>
      </c>
      <c r="B24" s="354" t="s">
        <v>228</v>
      </c>
      <c r="C24" s="354" t="s">
        <v>229</v>
      </c>
      <c r="D24" s="380" t="s">
        <v>194</v>
      </c>
      <c r="E24" s="380" t="s">
        <v>115</v>
      </c>
      <c r="F24" s="443" t="s">
        <v>115</v>
      </c>
      <c r="G24" s="443" t="s">
        <v>115</v>
      </c>
      <c r="H24" s="380" t="s">
        <v>194</v>
      </c>
      <c r="I24" s="380" t="s">
        <v>194</v>
      </c>
      <c r="J24" s="380" t="s">
        <v>194</v>
      </c>
      <c r="K24" s="380">
        <f>'Invul- en verrekenblad'!C17</f>
        <v>0</v>
      </c>
      <c r="L24" s="404" t="s">
        <v>217</v>
      </c>
      <c r="M24" s="412">
        <f>Gegevensblad!M24</f>
        <v>49.661587741513571</v>
      </c>
      <c r="N24" s="388">
        <f t="shared" si="0"/>
        <v>0</v>
      </c>
      <c r="O24" s="377"/>
      <c r="P24" s="379"/>
      <c r="Q24" s="379"/>
      <c r="R24" s="379"/>
    </row>
    <row r="25" spans="1:18" ht="45" x14ac:dyDescent="0.2">
      <c r="A25" s="442" t="s">
        <v>230</v>
      </c>
      <c r="B25" s="354" t="s">
        <v>231</v>
      </c>
      <c r="C25" s="354" t="s">
        <v>232</v>
      </c>
      <c r="D25" s="380" t="s">
        <v>194</v>
      </c>
      <c r="E25" s="380" t="s">
        <v>194</v>
      </c>
      <c r="F25" s="380" t="s">
        <v>194</v>
      </c>
      <c r="G25" s="380" t="s">
        <v>194</v>
      </c>
      <c r="H25" s="443" t="s">
        <v>115</v>
      </c>
      <c r="I25" s="443" t="s">
        <v>115</v>
      </c>
      <c r="J25" s="443" t="s">
        <v>115</v>
      </c>
      <c r="K25" s="404"/>
      <c r="L25" s="404" t="s">
        <v>217</v>
      </c>
      <c r="M25" s="412">
        <f>Gegevensblad!M25</f>
        <v>60.976513910007291</v>
      </c>
      <c r="N25" s="457">
        <f t="shared" si="0"/>
        <v>0</v>
      </c>
      <c r="O25" s="377"/>
      <c r="P25" s="379"/>
      <c r="Q25" s="379"/>
      <c r="R25" s="379"/>
    </row>
    <row r="26" spans="1:18" ht="68.25" thickBot="1" x14ac:dyDescent="0.25">
      <c r="A26" s="444" t="s">
        <v>128</v>
      </c>
      <c r="B26" s="356" t="s">
        <v>233</v>
      </c>
      <c r="C26" s="356" t="s">
        <v>316</v>
      </c>
      <c r="D26" s="357" t="s">
        <v>194</v>
      </c>
      <c r="E26" s="445" t="s">
        <v>203</v>
      </c>
      <c r="F26" s="445" t="s">
        <v>203</v>
      </c>
      <c r="G26" s="445" t="s">
        <v>203</v>
      </c>
      <c r="H26" s="445" t="s">
        <v>203</v>
      </c>
      <c r="I26" s="445" t="s">
        <v>203</v>
      </c>
      <c r="J26" s="445" t="s">
        <v>203</v>
      </c>
      <c r="K26" s="357" t="b">
        <f>IF('Invul- en verrekenblad'!B17=1,IF(Variabelen!G11="ja",1,0))</f>
        <v>0</v>
      </c>
      <c r="L26" s="389" t="s">
        <v>235</v>
      </c>
      <c r="M26" s="390">
        <f>Variabelen!$L$11</f>
        <v>0</v>
      </c>
      <c r="N26" s="391">
        <f t="shared" si="0"/>
        <v>0</v>
      </c>
      <c r="O26" s="377"/>
      <c r="P26" s="379"/>
      <c r="Q26" s="379"/>
      <c r="R26" s="379"/>
    </row>
    <row r="27" spans="1:18" ht="47.25" thickBot="1" x14ac:dyDescent="0.25">
      <c r="A27" s="439">
        <v>3</v>
      </c>
      <c r="B27" s="330" t="s">
        <v>236</v>
      </c>
      <c r="C27" s="327"/>
      <c r="D27" s="428" t="s">
        <v>313</v>
      </c>
      <c r="E27" s="429" t="s">
        <v>117</v>
      </c>
      <c r="F27" s="429" t="s">
        <v>118</v>
      </c>
      <c r="G27" s="430" t="s">
        <v>119</v>
      </c>
      <c r="H27" s="430" t="s">
        <v>120</v>
      </c>
      <c r="I27" s="431" t="s">
        <v>121</v>
      </c>
      <c r="J27" s="431" t="s">
        <v>122</v>
      </c>
      <c r="K27" s="372"/>
      <c r="L27" s="372" t="s">
        <v>188</v>
      </c>
      <c r="M27" s="415" t="str">
        <f>Gegevensblad!M27</f>
        <v>Prijs per eenheid (€)</v>
      </c>
      <c r="N27" s="385"/>
      <c r="O27" s="386"/>
    </row>
    <row r="28" spans="1:18" ht="67.5" x14ac:dyDescent="0.2">
      <c r="A28" s="440" t="s">
        <v>237</v>
      </c>
      <c r="B28" s="353" t="s">
        <v>238</v>
      </c>
      <c r="C28" s="353" t="s">
        <v>239</v>
      </c>
      <c r="D28" s="375" t="s">
        <v>194</v>
      </c>
      <c r="E28" s="375" t="s">
        <v>115</v>
      </c>
      <c r="F28" s="375" t="s">
        <v>115</v>
      </c>
      <c r="G28" s="441" t="s">
        <v>115</v>
      </c>
      <c r="H28" s="375" t="s">
        <v>194</v>
      </c>
      <c r="I28" s="375" t="s">
        <v>194</v>
      </c>
      <c r="J28" s="375" t="s">
        <v>194</v>
      </c>
      <c r="K28" s="375">
        <f>IF(('Invul- en verrekenblad'!B18+'Invul- en verrekenblad'!B19+'Invul- en verrekenblad'!B20)&gt;0,0,'Invul- en verrekenblad'!B17)</f>
        <v>0</v>
      </c>
      <c r="L28" s="375" t="s">
        <v>195</v>
      </c>
      <c r="M28" s="409">
        <f>Gegevensblad!M28</f>
        <v>620.76984676891959</v>
      </c>
      <c r="N28" s="387">
        <f>K28*M28</f>
        <v>0</v>
      </c>
      <c r="O28" s="377"/>
      <c r="P28" s="379"/>
      <c r="Q28" s="379"/>
      <c r="R28" s="379"/>
    </row>
    <row r="29" spans="1:18" ht="90.75" thickBot="1" x14ac:dyDescent="0.25">
      <c r="A29" s="355" t="s">
        <v>240</v>
      </c>
      <c r="B29" s="356" t="s">
        <v>241</v>
      </c>
      <c r="C29" s="356" t="s">
        <v>242</v>
      </c>
      <c r="D29" s="357" t="s">
        <v>194</v>
      </c>
      <c r="E29" s="357" t="s">
        <v>194</v>
      </c>
      <c r="F29" s="357" t="s">
        <v>194</v>
      </c>
      <c r="G29" s="357" t="s">
        <v>194</v>
      </c>
      <c r="H29" s="445" t="s">
        <v>115</v>
      </c>
      <c r="I29" s="445" t="s">
        <v>115</v>
      </c>
      <c r="J29" s="445" t="s">
        <v>115</v>
      </c>
      <c r="K29" s="405"/>
      <c r="L29" s="357" t="s">
        <v>195</v>
      </c>
      <c r="M29" s="419">
        <f>Gegevensblad!M29</f>
        <v>762.2064238750911</v>
      </c>
      <c r="N29" s="455">
        <f>K29*M29</f>
        <v>0</v>
      </c>
      <c r="O29" s="377"/>
      <c r="P29" s="379"/>
      <c r="Q29" s="379"/>
      <c r="R29" s="379"/>
    </row>
    <row r="30" spans="1:18" ht="47.25" thickBot="1" x14ac:dyDescent="0.25">
      <c r="A30" s="427">
        <v>4</v>
      </c>
      <c r="B30" s="330" t="s">
        <v>131</v>
      </c>
      <c r="C30" s="327"/>
      <c r="D30" s="428" t="s">
        <v>313</v>
      </c>
      <c r="E30" s="429" t="s">
        <v>117</v>
      </c>
      <c r="F30" s="429" t="s">
        <v>118</v>
      </c>
      <c r="G30" s="430" t="s">
        <v>119</v>
      </c>
      <c r="H30" s="430" t="s">
        <v>120</v>
      </c>
      <c r="I30" s="431" t="s">
        <v>121</v>
      </c>
      <c r="J30" s="431" t="s">
        <v>122</v>
      </c>
      <c r="K30" s="372"/>
      <c r="L30" s="372" t="s">
        <v>188</v>
      </c>
      <c r="M30" s="410" t="str">
        <f>Gegevensblad!M30</f>
        <v>Prijs per eenheid (€)</v>
      </c>
      <c r="N30" s="385"/>
      <c r="O30" s="386"/>
    </row>
    <row r="31" spans="1:18" ht="45" x14ac:dyDescent="0.2">
      <c r="A31" s="446" t="s">
        <v>132</v>
      </c>
      <c r="B31" s="353" t="s">
        <v>133</v>
      </c>
      <c r="C31" s="353" t="s">
        <v>243</v>
      </c>
      <c r="D31" s="375" t="s">
        <v>194</v>
      </c>
      <c r="E31" s="375" t="s">
        <v>194</v>
      </c>
      <c r="F31" s="375" t="s">
        <v>203</v>
      </c>
      <c r="G31" s="375" t="s">
        <v>194</v>
      </c>
      <c r="H31" s="375" t="s">
        <v>203</v>
      </c>
      <c r="I31" s="375" t="s">
        <v>194</v>
      </c>
      <c r="J31" s="375" t="s">
        <v>203</v>
      </c>
      <c r="K31" s="403"/>
      <c r="L31" s="392" t="s">
        <v>235</v>
      </c>
      <c r="M31" s="418">
        <f>Variabelen!$L$13</f>
        <v>0</v>
      </c>
      <c r="N31" s="456">
        <f>K31*M31</f>
        <v>0</v>
      </c>
      <c r="O31" s="377"/>
      <c r="P31" s="379"/>
      <c r="Q31" s="379"/>
      <c r="R31" s="379"/>
    </row>
    <row r="32" spans="1:18" ht="45" x14ac:dyDescent="0.2">
      <c r="A32" s="447" t="s">
        <v>134</v>
      </c>
      <c r="B32" s="354" t="s">
        <v>135</v>
      </c>
      <c r="C32" s="354" t="s">
        <v>243</v>
      </c>
      <c r="D32" s="380" t="s">
        <v>194</v>
      </c>
      <c r="E32" s="380" t="s">
        <v>194</v>
      </c>
      <c r="F32" s="380" t="s">
        <v>203</v>
      </c>
      <c r="G32" s="380" t="s">
        <v>194</v>
      </c>
      <c r="H32" s="380" t="s">
        <v>203</v>
      </c>
      <c r="I32" s="380" t="s">
        <v>194</v>
      </c>
      <c r="J32" s="380" t="s">
        <v>203</v>
      </c>
      <c r="K32" s="404"/>
      <c r="L32" s="393" t="s">
        <v>235</v>
      </c>
      <c r="M32" s="421">
        <f>Variabelen!$L$14</f>
        <v>0</v>
      </c>
      <c r="N32" s="457">
        <f>K32*M32</f>
        <v>0</v>
      </c>
      <c r="O32" s="377"/>
      <c r="P32" s="379"/>
      <c r="Q32" s="379"/>
      <c r="R32" s="379"/>
    </row>
    <row r="33" spans="1:18" ht="45.75" thickBot="1" x14ac:dyDescent="0.25">
      <c r="A33" s="444" t="s">
        <v>136</v>
      </c>
      <c r="B33" s="356" t="s">
        <v>137</v>
      </c>
      <c r="C33" s="356" t="s">
        <v>244</v>
      </c>
      <c r="D33" s="357" t="s">
        <v>194</v>
      </c>
      <c r="E33" s="357" t="s">
        <v>194</v>
      </c>
      <c r="F33" s="357" t="s">
        <v>203</v>
      </c>
      <c r="G33" s="357" t="s">
        <v>194</v>
      </c>
      <c r="H33" s="357" t="s">
        <v>203</v>
      </c>
      <c r="I33" s="357" t="s">
        <v>194</v>
      </c>
      <c r="J33" s="357" t="s">
        <v>203</v>
      </c>
      <c r="K33" s="405"/>
      <c r="L33" s="390" t="s">
        <v>235</v>
      </c>
      <c r="M33" s="418">
        <f>Variabelen!$L$15</f>
        <v>0</v>
      </c>
      <c r="N33" s="455">
        <f>K33*M33</f>
        <v>0</v>
      </c>
      <c r="O33" s="377"/>
      <c r="P33" s="379"/>
      <c r="Q33" s="379"/>
      <c r="R33" s="379"/>
    </row>
    <row r="34" spans="1:18" ht="47.25" thickBot="1" x14ac:dyDescent="0.3">
      <c r="A34" s="427">
        <v>5</v>
      </c>
      <c r="B34" s="493" t="s">
        <v>245</v>
      </c>
      <c r="C34" s="493"/>
      <c r="D34" s="428" t="s">
        <v>313</v>
      </c>
      <c r="E34" s="429" t="s">
        <v>117</v>
      </c>
      <c r="F34" s="429" t="s">
        <v>118</v>
      </c>
      <c r="G34" s="430" t="s">
        <v>119</v>
      </c>
      <c r="H34" s="430" t="s">
        <v>120</v>
      </c>
      <c r="I34" s="431" t="s">
        <v>121</v>
      </c>
      <c r="J34" s="431" t="s">
        <v>122</v>
      </c>
      <c r="K34" s="372"/>
      <c r="L34" s="372" t="s">
        <v>188</v>
      </c>
      <c r="M34" s="410" t="str">
        <f>Gegevensblad!M34</f>
        <v>Prijs per eenheid (€)</v>
      </c>
      <c r="N34" s="385"/>
      <c r="O34" s="386"/>
    </row>
    <row r="35" spans="1:18" ht="33.75" x14ac:dyDescent="0.2">
      <c r="A35" s="440" t="s">
        <v>246</v>
      </c>
      <c r="B35" s="353" t="s">
        <v>247</v>
      </c>
      <c r="C35" s="353" t="s">
        <v>248</v>
      </c>
      <c r="D35" s="375" t="s">
        <v>115</v>
      </c>
      <c r="E35" s="375" t="s">
        <v>115</v>
      </c>
      <c r="F35" s="375" t="s">
        <v>115</v>
      </c>
      <c r="G35" s="375" t="s">
        <v>115</v>
      </c>
      <c r="H35" s="375" t="s">
        <v>115</v>
      </c>
      <c r="I35" s="375" t="s">
        <v>115</v>
      </c>
      <c r="J35" s="375" t="s">
        <v>115</v>
      </c>
      <c r="K35" s="375">
        <f>'Invul- en verrekenblad'!C17</f>
        <v>0</v>
      </c>
      <c r="L35" s="375" t="s">
        <v>217</v>
      </c>
      <c r="M35" s="403">
        <f>Gegevensblad!M35</f>
        <v>0</v>
      </c>
      <c r="N35" s="387">
        <f t="shared" ref="N35:N43" si="1">K35*M35</f>
        <v>0</v>
      </c>
      <c r="O35" s="377"/>
      <c r="P35" s="379"/>
      <c r="Q35" s="379"/>
      <c r="R35" s="379"/>
    </row>
    <row r="36" spans="1:18" ht="22.5" x14ac:dyDescent="0.2">
      <c r="A36" s="442" t="s">
        <v>139</v>
      </c>
      <c r="B36" s="354" t="s">
        <v>140</v>
      </c>
      <c r="C36" s="354" t="s">
        <v>249</v>
      </c>
      <c r="D36" s="380" t="s">
        <v>203</v>
      </c>
      <c r="E36" s="380" t="s">
        <v>203</v>
      </c>
      <c r="F36" s="380" t="s">
        <v>203</v>
      </c>
      <c r="G36" s="380" t="s">
        <v>115</v>
      </c>
      <c r="H36" s="380" t="s">
        <v>115</v>
      </c>
      <c r="I36" s="380" t="s">
        <v>115</v>
      </c>
      <c r="J36" s="380" t="s">
        <v>115</v>
      </c>
      <c r="K36" s="380">
        <f>IF(('Invul- en verrekenblad'!B18+'Invul- en verrekenblad'!B19+'Invul- en verrekenblad'!B20)&gt;0,0,'Invul- en verrekenblad'!B17)</f>
        <v>0</v>
      </c>
      <c r="L36" s="380" t="s">
        <v>250</v>
      </c>
      <c r="M36" s="464">
        <f>Gegevensblad!M36</f>
        <v>9.9831560644368125</v>
      </c>
      <c r="N36" s="388">
        <f t="shared" si="1"/>
        <v>0</v>
      </c>
      <c r="O36" s="377"/>
      <c r="P36" s="379"/>
      <c r="Q36" s="379"/>
      <c r="R36" s="379"/>
    </row>
    <row r="37" spans="1:18" ht="33.75" x14ac:dyDescent="0.2">
      <c r="A37" s="447" t="s">
        <v>141</v>
      </c>
      <c r="B37" s="354" t="s">
        <v>251</v>
      </c>
      <c r="C37" s="354" t="s">
        <v>329</v>
      </c>
      <c r="D37" s="380" t="s">
        <v>194</v>
      </c>
      <c r="E37" s="380" t="s">
        <v>194</v>
      </c>
      <c r="F37" s="380" t="s">
        <v>194</v>
      </c>
      <c r="G37" s="434" t="s">
        <v>203</v>
      </c>
      <c r="H37" s="434" t="s">
        <v>203</v>
      </c>
      <c r="I37" s="434" t="s">
        <v>203</v>
      </c>
      <c r="J37" s="434" t="s">
        <v>203</v>
      </c>
      <c r="K37" s="380" t="b">
        <f>IF('Invul- en verrekenblad'!B17=1,IF(Variabelen!G18="ja",'Invul- en verrekenblad'!C17,0))</f>
        <v>0</v>
      </c>
      <c r="L37" s="380" t="s">
        <v>217</v>
      </c>
      <c r="M37" s="464">
        <f>Gegevensblad!M37</f>
        <v>152.18225707982944</v>
      </c>
      <c r="N37" s="388">
        <f t="shared" si="1"/>
        <v>0</v>
      </c>
      <c r="O37" s="377"/>
      <c r="P37" s="379"/>
      <c r="Q37" s="379"/>
      <c r="R37" s="379"/>
    </row>
    <row r="38" spans="1:18" ht="22.5" x14ac:dyDescent="0.2">
      <c r="A38" s="447" t="s">
        <v>143</v>
      </c>
      <c r="B38" s="354" t="s">
        <v>253</v>
      </c>
      <c r="C38" s="354" t="s">
        <v>254</v>
      </c>
      <c r="D38" s="380" t="s">
        <v>194</v>
      </c>
      <c r="E38" s="380" t="s">
        <v>194</v>
      </c>
      <c r="F38" s="380" t="s">
        <v>194</v>
      </c>
      <c r="G38" s="434" t="s">
        <v>203</v>
      </c>
      <c r="H38" s="434" t="s">
        <v>203</v>
      </c>
      <c r="I38" s="434" t="s">
        <v>203</v>
      </c>
      <c r="J38" s="434" t="s">
        <v>203</v>
      </c>
      <c r="K38" s="394" t="b">
        <f>IF('Invul- en verrekenblad'!B17=1,IF(Variabelen!G18="ja",Variabelen!G19,0))</f>
        <v>0</v>
      </c>
      <c r="L38" s="394" t="s">
        <v>268</v>
      </c>
      <c r="M38" s="471">
        <f>Gegevensblad!M38</f>
        <v>436.76307781911055</v>
      </c>
      <c r="N38" s="388">
        <f t="shared" si="1"/>
        <v>0</v>
      </c>
      <c r="O38" s="377"/>
      <c r="P38" s="379"/>
      <c r="Q38" s="379"/>
      <c r="R38" s="379"/>
    </row>
    <row r="39" spans="1:18" x14ac:dyDescent="0.2">
      <c r="A39" s="442" t="s">
        <v>255</v>
      </c>
      <c r="B39" s="354" t="s">
        <v>256</v>
      </c>
      <c r="C39" s="354" t="s">
        <v>257</v>
      </c>
      <c r="D39" s="380" t="s">
        <v>194</v>
      </c>
      <c r="E39" s="380" t="s">
        <v>115</v>
      </c>
      <c r="F39" s="380" t="s">
        <v>115</v>
      </c>
      <c r="G39" s="380" t="s">
        <v>115</v>
      </c>
      <c r="H39" s="380" t="s">
        <v>115</v>
      </c>
      <c r="I39" s="380" t="s">
        <v>115</v>
      </c>
      <c r="J39" s="380" t="s">
        <v>115</v>
      </c>
      <c r="K39" s="380">
        <f>'Invul- en verrekenblad'!C17</f>
        <v>0</v>
      </c>
      <c r="L39" s="394" t="s">
        <v>217</v>
      </c>
      <c r="M39" s="471">
        <f>Gegevensblad!M39</f>
        <v>12.478945080546016</v>
      </c>
      <c r="N39" s="388">
        <f t="shared" si="1"/>
        <v>0</v>
      </c>
      <c r="O39" s="377"/>
      <c r="P39" s="379"/>
      <c r="Q39" s="379"/>
      <c r="R39" s="379"/>
    </row>
    <row r="40" spans="1:18" ht="45" x14ac:dyDescent="0.2">
      <c r="A40" s="447" t="s">
        <v>145</v>
      </c>
      <c r="B40" s="354" t="s">
        <v>146</v>
      </c>
      <c r="C40" s="354" t="s">
        <v>258</v>
      </c>
      <c r="D40" s="380" t="s">
        <v>203</v>
      </c>
      <c r="E40" s="434" t="s">
        <v>203</v>
      </c>
      <c r="F40" s="434" t="s">
        <v>203</v>
      </c>
      <c r="G40" s="434" t="s">
        <v>203</v>
      </c>
      <c r="H40" s="434" t="s">
        <v>203</v>
      </c>
      <c r="I40" s="434" t="s">
        <v>203</v>
      </c>
      <c r="J40" s="434" t="s">
        <v>203</v>
      </c>
      <c r="K40" s="394" t="b">
        <f>IF('Invul- en verrekenblad'!B17=1,IF(Variabelen!G20="ja",'Invul- en verrekenblad'!F17,0))</f>
        <v>0</v>
      </c>
      <c r="L40" s="394" t="s">
        <v>259</v>
      </c>
      <c r="M40" s="471">
        <f>Gegevensblad!M40</f>
        <v>1.1231050572491412</v>
      </c>
      <c r="N40" s="388">
        <f t="shared" si="1"/>
        <v>0</v>
      </c>
      <c r="O40" s="377"/>
      <c r="P40" s="379"/>
      <c r="Q40" s="379"/>
      <c r="R40" s="379"/>
    </row>
    <row r="41" spans="1:18" ht="45" x14ac:dyDescent="0.2">
      <c r="A41" s="447" t="s">
        <v>147</v>
      </c>
      <c r="B41" s="354" t="s">
        <v>260</v>
      </c>
      <c r="C41" s="354" t="s">
        <v>261</v>
      </c>
      <c r="D41" s="380" t="s">
        <v>194</v>
      </c>
      <c r="E41" s="434" t="s">
        <v>203</v>
      </c>
      <c r="F41" s="434" t="s">
        <v>203</v>
      </c>
      <c r="G41" s="434" t="s">
        <v>203</v>
      </c>
      <c r="H41" s="434" t="s">
        <v>203</v>
      </c>
      <c r="I41" s="434" t="s">
        <v>203</v>
      </c>
      <c r="J41" s="434" t="s">
        <v>203</v>
      </c>
      <c r="K41" s="380" t="b">
        <f>IF('Invul- en verrekenblad'!B17=1,IF(Variabelen!G21="ja",'Invul- en verrekenblad'!F17*('Invul- en verrekenblad'!C17/5),0))</f>
        <v>0</v>
      </c>
      <c r="L41" s="380" t="s">
        <v>262</v>
      </c>
      <c r="M41" s="464">
        <f>Gegevensblad!M41</f>
        <v>7.045474864806919</v>
      </c>
      <c r="N41" s="388">
        <f t="shared" si="1"/>
        <v>0</v>
      </c>
      <c r="O41" s="377"/>
      <c r="P41" s="379"/>
      <c r="Q41" s="379"/>
      <c r="R41" s="379"/>
    </row>
    <row r="42" spans="1:18" ht="56.25" x14ac:dyDescent="0.2">
      <c r="A42" s="447" t="s">
        <v>149</v>
      </c>
      <c r="B42" s="354" t="s">
        <v>263</v>
      </c>
      <c r="C42" s="354" t="s">
        <v>264</v>
      </c>
      <c r="D42" s="380" t="s">
        <v>203</v>
      </c>
      <c r="E42" s="434" t="s">
        <v>203</v>
      </c>
      <c r="F42" s="434" t="s">
        <v>203</v>
      </c>
      <c r="G42" s="434" t="s">
        <v>203</v>
      </c>
      <c r="H42" s="434" t="s">
        <v>203</v>
      </c>
      <c r="I42" s="434" t="s">
        <v>203</v>
      </c>
      <c r="J42" s="434" t="s">
        <v>203</v>
      </c>
      <c r="K42" s="395" t="b">
        <f>IF('Invul- en verrekenblad'!B17=1,IF(Variabelen!G22="ja",'Invul- en verrekenblad'!F17/3.5*('Invul- en verrekenblad'!C17/5),0))</f>
        <v>0</v>
      </c>
      <c r="L42" s="380" t="s">
        <v>265</v>
      </c>
      <c r="M42" s="464">
        <f>Gegevensblad!M42</f>
        <v>8.4545698377683021</v>
      </c>
      <c r="N42" s="388">
        <f t="shared" si="1"/>
        <v>0</v>
      </c>
      <c r="O42" s="377"/>
      <c r="P42" s="379"/>
      <c r="Q42" s="379"/>
      <c r="R42" s="379"/>
    </row>
    <row r="43" spans="1:18" ht="23.25" thickBot="1" x14ac:dyDescent="0.25">
      <c r="A43" s="447" t="s">
        <v>151</v>
      </c>
      <c r="B43" s="354" t="s">
        <v>266</v>
      </c>
      <c r="C43" s="354" t="s">
        <v>267</v>
      </c>
      <c r="D43" s="380" t="s">
        <v>203</v>
      </c>
      <c r="E43" s="434" t="s">
        <v>203</v>
      </c>
      <c r="F43" s="434" t="s">
        <v>203</v>
      </c>
      <c r="G43" s="434" t="s">
        <v>203</v>
      </c>
      <c r="H43" s="434" t="s">
        <v>203</v>
      </c>
      <c r="I43" s="434" t="s">
        <v>203</v>
      </c>
      <c r="J43" s="434" t="s">
        <v>203</v>
      </c>
      <c r="K43" s="380" t="b">
        <f>IF('Invul- en verrekenblad'!B17=1,IF(OR(Variabelen!G21="ja",Variabelen!G22="ja"),Variabelen!G23,0))</f>
        <v>0</v>
      </c>
      <c r="L43" s="380" t="s">
        <v>268</v>
      </c>
      <c r="M43" s="412">
        <f>Gegevensblad!M43</f>
        <v>450.91039134764281</v>
      </c>
      <c r="N43" s="388">
        <f t="shared" si="1"/>
        <v>0</v>
      </c>
      <c r="O43" s="377"/>
      <c r="P43" s="379"/>
      <c r="Q43" s="379"/>
      <c r="R43" s="379"/>
    </row>
    <row r="44" spans="1:18" ht="47.25" thickBot="1" x14ac:dyDescent="0.25">
      <c r="A44" s="427">
        <v>6</v>
      </c>
      <c r="B44" s="330" t="s">
        <v>155</v>
      </c>
      <c r="C44" s="327"/>
      <c r="D44" s="428" t="s">
        <v>313</v>
      </c>
      <c r="E44" s="429" t="s">
        <v>117</v>
      </c>
      <c r="F44" s="429" t="s">
        <v>118</v>
      </c>
      <c r="G44" s="430" t="s">
        <v>119</v>
      </c>
      <c r="H44" s="430" t="s">
        <v>120</v>
      </c>
      <c r="I44" s="431" t="s">
        <v>121</v>
      </c>
      <c r="J44" s="431" t="s">
        <v>122</v>
      </c>
      <c r="K44" s="372"/>
      <c r="L44" s="372" t="s">
        <v>188</v>
      </c>
      <c r="M44" s="410" t="str">
        <f>Gegevensblad!M45</f>
        <v>Prijs per eenheid (€)</v>
      </c>
      <c r="N44" s="385"/>
      <c r="O44" s="386"/>
    </row>
    <row r="45" spans="1:18" ht="22.5" x14ac:dyDescent="0.2">
      <c r="A45" s="440" t="s">
        <v>270</v>
      </c>
      <c r="B45" s="353" t="s">
        <v>271</v>
      </c>
      <c r="C45" s="353" t="s">
        <v>272</v>
      </c>
      <c r="D45" s="375" t="s">
        <v>194</v>
      </c>
      <c r="E45" s="375" t="s">
        <v>115</v>
      </c>
      <c r="F45" s="375" t="s">
        <v>115</v>
      </c>
      <c r="G45" s="375" t="s">
        <v>194</v>
      </c>
      <c r="H45" s="375" t="s">
        <v>194</v>
      </c>
      <c r="I45" s="375" t="s">
        <v>194</v>
      </c>
      <c r="J45" s="375" t="s">
        <v>194</v>
      </c>
      <c r="K45" s="403"/>
      <c r="L45" s="375" t="s">
        <v>217</v>
      </c>
      <c r="M45" s="403">
        <f>Gegevensblad!M46</f>
        <v>0</v>
      </c>
      <c r="N45" s="456">
        <f t="shared" ref="N45:N50" si="2">K45*M45</f>
        <v>0</v>
      </c>
      <c r="O45" s="377"/>
      <c r="P45" s="379"/>
      <c r="Q45" s="379"/>
      <c r="R45" s="379"/>
    </row>
    <row r="46" spans="1:18" ht="45" x14ac:dyDescent="0.2">
      <c r="A46" s="447" t="s">
        <v>156</v>
      </c>
      <c r="B46" s="354" t="s">
        <v>157</v>
      </c>
      <c r="C46" s="354" t="s">
        <v>317</v>
      </c>
      <c r="D46" s="380" t="s">
        <v>194</v>
      </c>
      <c r="E46" s="434" t="s">
        <v>203</v>
      </c>
      <c r="F46" s="434" t="s">
        <v>203</v>
      </c>
      <c r="G46" s="380" t="s">
        <v>203</v>
      </c>
      <c r="H46" s="380" t="s">
        <v>115</v>
      </c>
      <c r="I46" s="380" t="s">
        <v>115</v>
      </c>
      <c r="J46" s="380" t="s">
        <v>115</v>
      </c>
      <c r="K46" s="380" t="b">
        <f>IF('Invul- en verrekenblad'!B17=1,IF(Variabelen!G26="ja",'Invul- en verrekenblad'!C17*'Invul- en verrekenblad'!E17,0))</f>
        <v>0</v>
      </c>
      <c r="L46" s="380" t="s">
        <v>217</v>
      </c>
      <c r="M46" s="464">
        <f>Gegevensblad!M47</f>
        <v>129.6367375124473</v>
      </c>
      <c r="N46" s="388">
        <f t="shared" si="2"/>
        <v>0</v>
      </c>
      <c r="O46" s="377"/>
      <c r="P46" s="379"/>
      <c r="Q46" s="379"/>
      <c r="R46" s="379"/>
    </row>
    <row r="47" spans="1:18" ht="33.75" x14ac:dyDescent="0.25">
      <c r="A47" s="447" t="s">
        <v>158</v>
      </c>
      <c r="B47" s="354" t="s">
        <v>159</v>
      </c>
      <c r="C47" s="354" t="s">
        <v>274</v>
      </c>
      <c r="D47" s="380" t="s">
        <v>194</v>
      </c>
      <c r="E47" s="380" t="s">
        <v>194</v>
      </c>
      <c r="F47" s="380" t="s">
        <v>194</v>
      </c>
      <c r="G47" s="380" t="s">
        <v>194</v>
      </c>
      <c r="H47" s="434" t="s">
        <v>203</v>
      </c>
      <c r="I47" s="380" t="s">
        <v>194</v>
      </c>
      <c r="J47" s="434" t="s">
        <v>203</v>
      </c>
      <c r="K47" s="404"/>
      <c r="L47" s="390" t="s">
        <v>235</v>
      </c>
      <c r="M47" s="390">
        <f>Variabelen!$L$27</f>
        <v>0</v>
      </c>
      <c r="N47" s="457">
        <f t="shared" si="2"/>
        <v>0</v>
      </c>
      <c r="O47" s="377"/>
    </row>
    <row r="48" spans="1:18" ht="22.5" x14ac:dyDescent="0.2">
      <c r="A48" s="447" t="s">
        <v>160</v>
      </c>
      <c r="B48" s="354" t="s">
        <v>275</v>
      </c>
      <c r="C48" s="354" t="s">
        <v>276</v>
      </c>
      <c r="D48" s="380" t="s">
        <v>194</v>
      </c>
      <c r="E48" s="434" t="s">
        <v>203</v>
      </c>
      <c r="F48" s="434" t="s">
        <v>203</v>
      </c>
      <c r="G48" s="434" t="s">
        <v>203</v>
      </c>
      <c r="H48" s="434" t="s">
        <v>203</v>
      </c>
      <c r="I48" s="434" t="s">
        <v>203</v>
      </c>
      <c r="J48" s="434" t="s">
        <v>203</v>
      </c>
      <c r="K48" s="380" t="b">
        <f>IF('Invul- en verrekenblad'!B17=1,IF(Variabelen!G28="ja",Variabelen!L28,0))</f>
        <v>0</v>
      </c>
      <c r="L48" s="380" t="s">
        <v>162</v>
      </c>
      <c r="M48" s="464">
        <f>Gegevensblad!M49</f>
        <v>5.0727419026609821</v>
      </c>
      <c r="N48" s="388">
        <f t="shared" si="2"/>
        <v>0</v>
      </c>
      <c r="O48" s="377"/>
      <c r="P48" s="379"/>
      <c r="Q48" s="379"/>
      <c r="R48" s="379"/>
    </row>
    <row r="49" spans="1:18" ht="22.5" x14ac:dyDescent="0.2">
      <c r="A49" s="447" t="s">
        <v>163</v>
      </c>
      <c r="B49" s="354" t="s">
        <v>164</v>
      </c>
      <c r="C49" s="354" t="s">
        <v>277</v>
      </c>
      <c r="D49" s="380" t="s">
        <v>194</v>
      </c>
      <c r="E49" s="434" t="s">
        <v>203</v>
      </c>
      <c r="F49" s="434" t="s">
        <v>203</v>
      </c>
      <c r="G49" s="434" t="s">
        <v>203</v>
      </c>
      <c r="H49" s="434" t="s">
        <v>203</v>
      </c>
      <c r="I49" s="434" t="s">
        <v>203</v>
      </c>
      <c r="J49" s="434" t="s">
        <v>203</v>
      </c>
      <c r="K49" s="380" t="b">
        <f>IF('Invul- en verrekenblad'!B17=1,IF(Variabelen!G29="ja",1,0))</f>
        <v>0</v>
      </c>
      <c r="L49" s="393" t="s">
        <v>235</v>
      </c>
      <c r="M49" s="392">
        <f>Variabelen!$L$29</f>
        <v>0</v>
      </c>
      <c r="N49" s="388">
        <f t="shared" si="2"/>
        <v>0</v>
      </c>
      <c r="O49" s="377"/>
      <c r="P49" s="379"/>
      <c r="Q49" s="379"/>
      <c r="R49" s="379"/>
    </row>
    <row r="50" spans="1:18" ht="12" thickBot="1" x14ac:dyDescent="0.25">
      <c r="A50" s="355" t="s">
        <v>278</v>
      </c>
      <c r="B50" s="356" t="s">
        <v>279</v>
      </c>
      <c r="C50" s="356" t="s">
        <v>280</v>
      </c>
      <c r="D50" s="357" t="s">
        <v>194</v>
      </c>
      <c r="E50" s="357" t="s">
        <v>115</v>
      </c>
      <c r="F50" s="357" t="s">
        <v>115</v>
      </c>
      <c r="G50" s="357" t="s">
        <v>115</v>
      </c>
      <c r="H50" s="357" t="s">
        <v>115</v>
      </c>
      <c r="I50" s="357" t="s">
        <v>115</v>
      </c>
      <c r="J50" s="357" t="s">
        <v>115</v>
      </c>
      <c r="K50" s="357">
        <f>'Invul- en verrekenblad'!E17</f>
        <v>0</v>
      </c>
      <c r="L50" s="357" t="s">
        <v>281</v>
      </c>
      <c r="M50" s="465">
        <f>Gegevensblad!M51</f>
        <v>38.9967033767063</v>
      </c>
      <c r="N50" s="391">
        <f t="shared" si="2"/>
        <v>0</v>
      </c>
      <c r="O50" s="377"/>
      <c r="P50" s="379"/>
      <c r="Q50" s="379"/>
      <c r="R50" s="379"/>
    </row>
    <row r="51" spans="1:18" ht="47.25" thickBot="1" x14ac:dyDescent="0.25">
      <c r="A51" s="427">
        <v>7</v>
      </c>
      <c r="B51" s="330" t="s">
        <v>165</v>
      </c>
      <c r="C51" s="327"/>
      <c r="D51" s="428" t="s">
        <v>313</v>
      </c>
      <c r="E51" s="429" t="s">
        <v>117</v>
      </c>
      <c r="F51" s="429" t="s">
        <v>118</v>
      </c>
      <c r="G51" s="430" t="s">
        <v>119</v>
      </c>
      <c r="H51" s="430" t="s">
        <v>120</v>
      </c>
      <c r="I51" s="431" t="s">
        <v>121</v>
      </c>
      <c r="J51" s="431" t="s">
        <v>122</v>
      </c>
      <c r="K51" s="372"/>
      <c r="L51" s="372" t="s">
        <v>188</v>
      </c>
      <c r="M51" s="410" t="str">
        <f>Gegevensblad!M52</f>
        <v>Prijs per eenheid (€)</v>
      </c>
      <c r="N51" s="385"/>
      <c r="O51" s="386"/>
    </row>
    <row r="52" spans="1:18" ht="78.75" x14ac:dyDescent="0.2">
      <c r="A52" s="440" t="s">
        <v>282</v>
      </c>
      <c r="B52" s="353" t="s">
        <v>283</v>
      </c>
      <c r="C52" s="353" t="s">
        <v>284</v>
      </c>
      <c r="D52" s="375" t="s">
        <v>194</v>
      </c>
      <c r="E52" s="375" t="s">
        <v>115</v>
      </c>
      <c r="F52" s="375" t="s">
        <v>115</v>
      </c>
      <c r="G52" s="375" t="s">
        <v>115</v>
      </c>
      <c r="H52" s="375" t="s">
        <v>115</v>
      </c>
      <c r="I52" s="375" t="s">
        <v>115</v>
      </c>
      <c r="J52" s="375" t="s">
        <v>115</v>
      </c>
      <c r="K52" s="375">
        <f>'Invul- en verrekenblad'!C17*'Invul- en verrekenblad'!D17</f>
        <v>0</v>
      </c>
      <c r="L52" s="375" t="s">
        <v>217</v>
      </c>
      <c r="M52" s="466">
        <f>Gegevensblad!M53</f>
        <v>15.218225707982945</v>
      </c>
      <c r="N52" s="387">
        <f>K52*M52</f>
        <v>0</v>
      </c>
      <c r="O52" s="377"/>
      <c r="P52" s="379"/>
      <c r="Q52" s="379"/>
      <c r="R52" s="379"/>
    </row>
    <row r="53" spans="1:18" ht="56.25" x14ac:dyDescent="0.2">
      <c r="A53" s="447" t="s">
        <v>166</v>
      </c>
      <c r="B53" s="354" t="s">
        <v>167</v>
      </c>
      <c r="C53" s="354" t="s">
        <v>319</v>
      </c>
      <c r="D53" s="380" t="s">
        <v>194</v>
      </c>
      <c r="E53" s="434" t="s">
        <v>203</v>
      </c>
      <c r="F53" s="380" t="s">
        <v>115</v>
      </c>
      <c r="G53" s="434" t="s">
        <v>203</v>
      </c>
      <c r="H53" s="380" t="s">
        <v>115</v>
      </c>
      <c r="I53" s="434" t="s">
        <v>203</v>
      </c>
      <c r="J53" s="380" t="s">
        <v>115</v>
      </c>
      <c r="K53" s="380" t="b">
        <f>IF('Invul- en verrekenblad'!B17=1,IF(Variabelen!G31="ja",'Invul- en verrekenblad'!C17*'Invul- en verrekenblad'!D17,0))</f>
        <v>0</v>
      </c>
      <c r="L53" s="380" t="s">
        <v>217</v>
      </c>
      <c r="M53" s="464">
        <f>Gegevensblad!M54</f>
        <v>18.036415653905713</v>
      </c>
      <c r="N53" s="388">
        <f>K53*M53</f>
        <v>0</v>
      </c>
      <c r="O53" s="377"/>
      <c r="P53" s="379"/>
      <c r="Q53" s="379"/>
      <c r="R53" s="379"/>
    </row>
    <row r="54" spans="1:18" ht="45" x14ac:dyDescent="0.2">
      <c r="A54" s="447" t="s">
        <v>168</v>
      </c>
      <c r="B54" s="354" t="s">
        <v>169</v>
      </c>
      <c r="C54" s="354" t="s">
        <v>320</v>
      </c>
      <c r="D54" s="380" t="s">
        <v>194</v>
      </c>
      <c r="E54" s="434" t="s">
        <v>203</v>
      </c>
      <c r="F54" s="434" t="s">
        <v>203</v>
      </c>
      <c r="G54" s="434" t="s">
        <v>203</v>
      </c>
      <c r="H54" s="434" t="s">
        <v>203</v>
      </c>
      <c r="I54" s="434" t="s">
        <v>203</v>
      </c>
      <c r="J54" s="434" t="s">
        <v>203</v>
      </c>
      <c r="K54" s="380" t="b">
        <f>IF('Invul- en verrekenblad'!B17=1,IF(Variabelen!G32="ja",1,0))</f>
        <v>0</v>
      </c>
      <c r="L54" s="393" t="s">
        <v>235</v>
      </c>
      <c r="M54" s="392">
        <f>Variabelen!$L$32</f>
        <v>0</v>
      </c>
      <c r="N54" s="388">
        <f>K54*M54</f>
        <v>0</v>
      </c>
      <c r="O54" s="377"/>
      <c r="P54" s="379"/>
      <c r="Q54" s="379"/>
      <c r="R54" s="379"/>
    </row>
    <row r="55" spans="1:18" ht="23.25" thickBot="1" x14ac:dyDescent="0.25">
      <c r="A55" s="444" t="s">
        <v>170</v>
      </c>
      <c r="B55" s="356" t="s">
        <v>171</v>
      </c>
      <c r="C55" s="356" t="s">
        <v>287</v>
      </c>
      <c r="D55" s="357" t="s">
        <v>194</v>
      </c>
      <c r="E55" s="357" t="s">
        <v>194</v>
      </c>
      <c r="F55" s="357" t="s">
        <v>194</v>
      </c>
      <c r="G55" s="357" t="s">
        <v>194</v>
      </c>
      <c r="H55" s="357" t="s">
        <v>194</v>
      </c>
      <c r="I55" s="357" t="s">
        <v>194</v>
      </c>
      <c r="J55" s="445" t="s">
        <v>203</v>
      </c>
      <c r="K55" s="405"/>
      <c r="L55" s="390" t="s">
        <v>235</v>
      </c>
      <c r="M55" s="420">
        <f>Variabelen!$L$33</f>
        <v>0</v>
      </c>
      <c r="N55" s="455">
        <f>K55*M55</f>
        <v>0</v>
      </c>
      <c r="O55" s="377"/>
      <c r="P55" s="379"/>
      <c r="Q55" s="379"/>
      <c r="R55" s="379"/>
    </row>
    <row r="56" spans="1:18" ht="47.25" thickBot="1" x14ac:dyDescent="0.3">
      <c r="A56" s="427">
        <v>8</v>
      </c>
      <c r="B56" s="330" t="s">
        <v>288</v>
      </c>
      <c r="C56" s="330"/>
      <c r="D56" s="428" t="s">
        <v>313</v>
      </c>
      <c r="E56" s="429" t="s">
        <v>117</v>
      </c>
      <c r="F56" s="429" t="s">
        <v>118</v>
      </c>
      <c r="G56" s="430" t="s">
        <v>119</v>
      </c>
      <c r="H56" s="430" t="s">
        <v>120</v>
      </c>
      <c r="I56" s="431" t="s">
        <v>121</v>
      </c>
      <c r="J56" s="431" t="s">
        <v>122</v>
      </c>
      <c r="K56" s="372"/>
      <c r="L56" s="372" t="s">
        <v>188</v>
      </c>
      <c r="M56" s="410" t="str">
        <f>Gegevensblad!M57</f>
        <v>Prijs per eenheid (€)</v>
      </c>
      <c r="N56" s="385"/>
      <c r="O56" s="386"/>
    </row>
    <row r="57" spans="1:18" ht="56.25" x14ac:dyDescent="0.2">
      <c r="A57" s="440" t="s">
        <v>289</v>
      </c>
      <c r="B57" s="353" t="s">
        <v>290</v>
      </c>
      <c r="C57" s="353" t="s">
        <v>321</v>
      </c>
      <c r="D57" s="375" t="s">
        <v>115</v>
      </c>
      <c r="E57" s="375" t="s">
        <v>194</v>
      </c>
      <c r="F57" s="375" t="s">
        <v>194</v>
      </c>
      <c r="G57" s="375" t="s">
        <v>194</v>
      </c>
      <c r="H57" s="375" t="s">
        <v>194</v>
      </c>
      <c r="I57" s="375" t="s">
        <v>194</v>
      </c>
      <c r="J57" s="375" t="s">
        <v>194</v>
      </c>
      <c r="K57" s="403"/>
      <c r="L57" s="375" t="s">
        <v>292</v>
      </c>
      <c r="M57" s="466">
        <f>Gegevensblad!M58</f>
        <v>111.44175191793592</v>
      </c>
      <c r="N57" s="456">
        <f t="shared" ref="N57:N63" si="3">K57*M57</f>
        <v>0</v>
      </c>
      <c r="O57" s="377"/>
      <c r="P57" s="379"/>
      <c r="Q57" s="379"/>
      <c r="R57" s="379"/>
    </row>
    <row r="58" spans="1:18" ht="22.5" x14ac:dyDescent="0.2">
      <c r="A58" s="442" t="s">
        <v>293</v>
      </c>
      <c r="B58" s="354" t="s">
        <v>294</v>
      </c>
      <c r="C58" s="354" t="s">
        <v>295</v>
      </c>
      <c r="D58" s="434" t="s">
        <v>115</v>
      </c>
      <c r="E58" s="434" t="s">
        <v>115</v>
      </c>
      <c r="F58" s="434" t="s">
        <v>115</v>
      </c>
      <c r="G58" s="434" t="s">
        <v>115</v>
      </c>
      <c r="H58" s="434" t="s">
        <v>115</v>
      </c>
      <c r="I58" s="434" t="s">
        <v>115</v>
      </c>
      <c r="J58" s="434" t="s">
        <v>115</v>
      </c>
      <c r="K58" s="380" t="b">
        <f>IF(('Invul- en verrekenblad'!B18+'Invul- en verrekenblad'!B19+'Invul- en verrekenblad'!B20)&gt;0,0,IF('Invul- en verrekenblad'!B6="ja",IF('Invul- en verrekenblad'!B17=1,1,0)))</f>
        <v>0</v>
      </c>
      <c r="L58" s="380" t="s">
        <v>292</v>
      </c>
      <c r="M58" s="464">
        <f>Gegevensblad!M59</f>
        <v>696.51094948709942</v>
      </c>
      <c r="N58" s="388">
        <f>IF('Invul- en verrekenblad'!B14=1,0,K58*M58)</f>
        <v>0</v>
      </c>
      <c r="O58" s="377"/>
      <c r="P58" s="379"/>
      <c r="Q58" s="379"/>
      <c r="R58" s="379"/>
    </row>
    <row r="59" spans="1:18" ht="45" x14ac:dyDescent="0.2">
      <c r="A59" s="447" t="s">
        <v>173</v>
      </c>
      <c r="B59" s="354" t="s">
        <v>174</v>
      </c>
      <c r="C59" s="354" t="s">
        <v>296</v>
      </c>
      <c r="D59" s="434" t="s">
        <v>203</v>
      </c>
      <c r="E59" s="434" t="s">
        <v>203</v>
      </c>
      <c r="F59" s="434" t="s">
        <v>203</v>
      </c>
      <c r="G59" s="434" t="s">
        <v>203</v>
      </c>
      <c r="H59" s="434" t="s">
        <v>203</v>
      </c>
      <c r="I59" s="434" t="s">
        <v>203</v>
      </c>
      <c r="J59" s="434" t="s">
        <v>203</v>
      </c>
      <c r="K59" s="380" t="b">
        <f>IF('Invul- en verrekenblad'!B17=1,IF('Invul- en verrekenblad'!B6="ja",IF(Variabelen!G35="ja",1,0)))</f>
        <v>0</v>
      </c>
      <c r="L59" s="393" t="s">
        <v>235</v>
      </c>
      <c r="M59" s="392">
        <f>Variabelen!$L$35</f>
        <v>0</v>
      </c>
      <c r="N59" s="388">
        <f t="shared" si="3"/>
        <v>0</v>
      </c>
      <c r="O59" s="377"/>
      <c r="P59" s="379"/>
      <c r="Q59" s="379"/>
      <c r="R59" s="379"/>
    </row>
    <row r="60" spans="1:18" ht="45" x14ac:dyDescent="0.2">
      <c r="A60" s="447" t="s">
        <v>175</v>
      </c>
      <c r="B60" s="354" t="s">
        <v>176</v>
      </c>
      <c r="C60" s="354" t="s">
        <v>296</v>
      </c>
      <c r="D60" s="434" t="s">
        <v>203</v>
      </c>
      <c r="E60" s="434" t="s">
        <v>203</v>
      </c>
      <c r="F60" s="434" t="s">
        <v>203</v>
      </c>
      <c r="G60" s="434" t="s">
        <v>203</v>
      </c>
      <c r="H60" s="434" t="s">
        <v>203</v>
      </c>
      <c r="I60" s="434" t="s">
        <v>203</v>
      </c>
      <c r="J60" s="434" t="s">
        <v>203</v>
      </c>
      <c r="K60" s="380" t="b">
        <f>IF('Invul- en verrekenblad'!B17=1,IF('Invul- en verrekenblad'!B6="ja",IF(Variabelen!G36="ja",1,0)))</f>
        <v>0</v>
      </c>
      <c r="L60" s="393" t="s">
        <v>235</v>
      </c>
      <c r="M60" s="392">
        <f>Variabelen!$L$36</f>
        <v>0</v>
      </c>
      <c r="N60" s="388">
        <f t="shared" si="3"/>
        <v>0</v>
      </c>
      <c r="O60" s="377"/>
      <c r="P60" s="379"/>
      <c r="Q60" s="379"/>
      <c r="R60" s="379"/>
    </row>
    <row r="61" spans="1:18" ht="33.75" x14ac:dyDescent="0.2">
      <c r="A61" s="447" t="s">
        <v>177</v>
      </c>
      <c r="B61" s="354" t="s">
        <v>297</v>
      </c>
      <c r="C61" s="354" t="s">
        <v>298</v>
      </c>
      <c r="D61" s="434" t="s">
        <v>203</v>
      </c>
      <c r="E61" s="434" t="s">
        <v>203</v>
      </c>
      <c r="F61" s="434" t="s">
        <v>203</v>
      </c>
      <c r="G61" s="434" t="s">
        <v>203</v>
      </c>
      <c r="H61" s="434" t="s">
        <v>203</v>
      </c>
      <c r="I61" s="434" t="s">
        <v>203</v>
      </c>
      <c r="J61" s="434" t="s">
        <v>203</v>
      </c>
      <c r="K61" s="380" t="b">
        <f>IF('Invul- en verrekenblad'!B17=1,IF('Invul- en verrekenblad'!B6="ja",IF(Variabelen!G37="ja",1,0)))</f>
        <v>0</v>
      </c>
      <c r="L61" s="380" t="s">
        <v>292</v>
      </c>
      <c r="M61" s="464">
        <f>Gegevensblad!M62</f>
        <v>55.720875958967959</v>
      </c>
      <c r="N61" s="388">
        <f t="shared" si="3"/>
        <v>0</v>
      </c>
      <c r="O61" s="377"/>
      <c r="P61" s="379"/>
      <c r="Q61" s="379"/>
      <c r="R61" s="379"/>
    </row>
    <row r="62" spans="1:18" ht="33.75" x14ac:dyDescent="0.2">
      <c r="A62" s="447" t="s">
        <v>179</v>
      </c>
      <c r="B62" s="354" t="s">
        <v>299</v>
      </c>
      <c r="C62" s="354" t="s">
        <v>300</v>
      </c>
      <c r="D62" s="434" t="s">
        <v>203</v>
      </c>
      <c r="E62" s="434" t="s">
        <v>203</v>
      </c>
      <c r="F62" s="434" t="s">
        <v>203</v>
      </c>
      <c r="G62" s="434" t="s">
        <v>203</v>
      </c>
      <c r="H62" s="434" t="s">
        <v>203</v>
      </c>
      <c r="I62" s="434" t="s">
        <v>203</v>
      </c>
      <c r="J62" s="434" t="s">
        <v>203</v>
      </c>
      <c r="K62" s="380" t="b">
        <f>IF('Invul- en verrekenblad'!B17=1,IF('Invul- en verrekenblad'!B6="ja",IF(Variabelen!G38="ja",1,0)))</f>
        <v>0</v>
      </c>
      <c r="L62" s="380" t="s">
        <v>292</v>
      </c>
      <c r="M62" s="464">
        <f>Gegevensblad!M63</f>
        <v>111.44175191793592</v>
      </c>
      <c r="N62" s="388">
        <f t="shared" si="3"/>
        <v>0</v>
      </c>
      <c r="O62" s="377"/>
      <c r="P62" s="379"/>
      <c r="Q62" s="379"/>
      <c r="R62" s="379"/>
    </row>
    <row r="63" spans="1:18" ht="23.25" thickBot="1" x14ac:dyDescent="0.3">
      <c r="A63" s="444" t="s">
        <v>181</v>
      </c>
      <c r="B63" s="356" t="s">
        <v>324</v>
      </c>
      <c r="C63" s="356" t="s">
        <v>325</v>
      </c>
      <c r="D63" s="445" t="s">
        <v>203</v>
      </c>
      <c r="E63" s="357" t="s">
        <v>194</v>
      </c>
      <c r="F63" s="357" t="s">
        <v>194</v>
      </c>
      <c r="G63" s="357" t="s">
        <v>194</v>
      </c>
      <c r="H63" s="357" t="s">
        <v>194</v>
      </c>
      <c r="I63" s="357" t="s">
        <v>194</v>
      </c>
      <c r="J63" s="357" t="s">
        <v>194</v>
      </c>
      <c r="K63" s="405"/>
      <c r="L63" s="357" t="s">
        <v>217</v>
      </c>
      <c r="M63" s="465">
        <f>Gegevensblad!M64</f>
        <v>428.10847288998912</v>
      </c>
      <c r="N63" s="455">
        <f t="shared" si="3"/>
        <v>0</v>
      </c>
      <c r="O63" s="377"/>
    </row>
    <row r="64" spans="1:18" ht="47.25" thickBot="1" x14ac:dyDescent="0.25">
      <c r="A64" s="427">
        <v>9</v>
      </c>
      <c r="B64" s="330" t="s">
        <v>304</v>
      </c>
      <c r="C64" s="327"/>
      <c r="D64" s="428" t="s">
        <v>313</v>
      </c>
      <c r="E64" s="429" t="s">
        <v>117</v>
      </c>
      <c r="F64" s="429" t="s">
        <v>118</v>
      </c>
      <c r="G64" s="430" t="s">
        <v>119</v>
      </c>
      <c r="H64" s="430" t="s">
        <v>120</v>
      </c>
      <c r="I64" s="431" t="s">
        <v>121</v>
      </c>
      <c r="J64" s="431" t="s">
        <v>122</v>
      </c>
      <c r="K64" s="372"/>
      <c r="L64" s="372" t="s">
        <v>188</v>
      </c>
      <c r="M64" s="410" t="str">
        <f>Gegevensblad!M65</f>
        <v>Prijs per eenheid (€)</v>
      </c>
      <c r="N64" s="385"/>
      <c r="O64" s="386"/>
    </row>
    <row r="65" spans="1:18" ht="45" x14ac:dyDescent="0.2">
      <c r="A65" s="440" t="s">
        <v>305</v>
      </c>
      <c r="B65" s="353" t="s">
        <v>306</v>
      </c>
      <c r="C65" s="353" t="s">
        <v>307</v>
      </c>
      <c r="D65" s="375" t="s">
        <v>194</v>
      </c>
      <c r="E65" s="375" t="s">
        <v>194</v>
      </c>
      <c r="F65" s="375" t="s">
        <v>194</v>
      </c>
      <c r="G65" s="375" t="s">
        <v>115</v>
      </c>
      <c r="H65" s="375" t="s">
        <v>115</v>
      </c>
      <c r="I65" s="375" t="s">
        <v>115</v>
      </c>
      <c r="J65" s="375" t="s">
        <v>115</v>
      </c>
      <c r="K65" s="380">
        <f>('Invul- en verrekenblad'!D17+'Invul- en verrekenblad'!E17)*'Invul- en verrekenblad'!C17</f>
        <v>0</v>
      </c>
      <c r="L65" s="463" t="s">
        <v>308</v>
      </c>
      <c r="M65" s="466">
        <f>Gegevensblad!M66</f>
        <v>50.727419026609816</v>
      </c>
      <c r="N65" s="387">
        <f>K65*M65</f>
        <v>0</v>
      </c>
      <c r="O65" s="377"/>
      <c r="P65" s="379"/>
      <c r="Q65" s="379"/>
      <c r="R65" s="379"/>
    </row>
    <row r="66" spans="1:18" ht="45.75" thickBot="1" x14ac:dyDescent="0.25">
      <c r="A66" s="469" t="s">
        <v>309</v>
      </c>
      <c r="B66" s="470" t="s">
        <v>310</v>
      </c>
      <c r="C66" s="470" t="s">
        <v>311</v>
      </c>
      <c r="D66" s="450" t="s">
        <v>194</v>
      </c>
      <c r="E66" s="450" t="s">
        <v>115</v>
      </c>
      <c r="F66" s="450" t="s">
        <v>115</v>
      </c>
      <c r="G66" s="450" t="s">
        <v>115</v>
      </c>
      <c r="H66" s="450" t="s">
        <v>115</v>
      </c>
      <c r="I66" s="450" t="s">
        <v>115</v>
      </c>
      <c r="J66" s="450" t="s">
        <v>115</v>
      </c>
      <c r="K66" s="450">
        <f>'Invul- en verrekenblad'!C17*('Invul- en verrekenblad'!D17+'Invul- en verrekenblad'!E17)</f>
        <v>0</v>
      </c>
      <c r="L66" s="451" t="s">
        <v>308</v>
      </c>
      <c r="M66" s="467">
        <f>Gegevensblad!M67</f>
        <v>108.36954890453575</v>
      </c>
      <c r="N66" s="398">
        <f>K66*M66</f>
        <v>0</v>
      </c>
      <c r="P66" s="379"/>
      <c r="Q66" s="379"/>
      <c r="R66" s="379"/>
    </row>
    <row r="67" spans="1:18" ht="15.75" x14ac:dyDescent="0.25">
      <c r="D67" s="454" t="s">
        <v>115</v>
      </c>
      <c r="E67" s="454" t="s">
        <v>115</v>
      </c>
      <c r="F67" s="454" t="s">
        <v>115</v>
      </c>
      <c r="G67" s="454" t="s">
        <v>115</v>
      </c>
      <c r="H67" s="454" t="s">
        <v>115</v>
      </c>
      <c r="I67" s="454" t="s">
        <v>115</v>
      </c>
      <c r="J67" s="454" t="s">
        <v>115</v>
      </c>
      <c r="N67" s="402">
        <f>SUBTOTAL(9,N10:N66)</f>
        <v>0</v>
      </c>
    </row>
  </sheetData>
  <sheetProtection algorithmName="SHA-512" hashValue="BpDnqAxmEMSmVdyPprvIKKwQPvvnBLvpSptW90HwXvCYJ1Ih6LhXwTipd2z5dFQfLXWCkFoWSy+DvuQH03SMmQ==" saltValue="+ymlRSgoE+JjO1NcsZpwPA==" spinCount="100000" sheet="1" selectLockedCells="1"/>
  <autoFilter ref="A8:N8" xr:uid="{00000000-0001-0000-0600-000000000000}">
    <filterColumn colId="3" showButton="0"/>
    <filterColumn colId="4" showButton="0"/>
    <filterColumn colId="5" showButton="0"/>
    <filterColumn colId="6" showButton="0"/>
    <filterColumn colId="7" showButton="0"/>
    <filterColumn colId="8" showButton="0"/>
    <filterColumn colId="11" showButton="0"/>
  </autoFilter>
  <mergeCells count="3">
    <mergeCell ref="D8:J8"/>
    <mergeCell ref="L8:M8"/>
    <mergeCell ref="B34:C34"/>
  </mergeCells>
  <conditionalFormatting sqref="D16:D18 E16:J66">
    <cfRule type="containsText" dxfId="65" priority="25" operator="containsText" text="nee">
      <formula>NOT(ISERROR(SEARCH("nee",D16)))</formula>
    </cfRule>
    <cfRule type="containsText" dxfId="64" priority="26" operator="containsText" text="optie">
      <formula>NOT(ISERROR(SEARCH("optie",D16)))</formula>
    </cfRule>
    <cfRule type="containsText" dxfId="63" priority="27" operator="containsText" text="ja">
      <formula>NOT(ISERROR(SEARCH("ja",D16)))</formula>
    </cfRule>
  </conditionalFormatting>
  <conditionalFormatting sqref="D20:D26 D28:D29 D31:D33 D52:D55 D57:D63 D65:D66">
    <cfRule type="containsText" dxfId="62" priority="28" operator="containsText" text="nee">
      <formula>NOT(ISERROR(SEARCH("nee",D20)))</formula>
    </cfRule>
    <cfRule type="containsText" dxfId="61" priority="29" operator="containsText" text="optie">
      <formula>NOT(ISERROR(SEARCH("optie",D20)))</formula>
    </cfRule>
    <cfRule type="containsText" dxfId="60" priority="30" operator="containsText" text="ja">
      <formula>NOT(ISERROR(SEARCH("ja",D20)))</formula>
    </cfRule>
  </conditionalFormatting>
  <conditionalFormatting sqref="D35:D43">
    <cfRule type="containsText" dxfId="59" priority="16" operator="containsText" text="nee">
      <formula>NOT(ISERROR(SEARCH("nee",D35)))</formula>
    </cfRule>
    <cfRule type="containsText" dxfId="58" priority="17" operator="containsText" text="optie">
      <formula>NOT(ISERROR(SEARCH("optie",D35)))</formula>
    </cfRule>
    <cfRule type="containsText" dxfId="57" priority="18" operator="containsText" text="ja">
      <formula>NOT(ISERROR(SEARCH("ja",D35)))</formula>
    </cfRule>
  </conditionalFormatting>
  <conditionalFormatting sqref="D45:D50">
    <cfRule type="containsText" dxfId="56" priority="10" operator="containsText" text="nee">
      <formula>NOT(ISERROR(SEARCH("nee",D45)))</formula>
    </cfRule>
    <cfRule type="containsText" dxfId="55" priority="11" operator="containsText" text="optie">
      <formula>NOT(ISERROR(SEARCH("optie",D45)))</formula>
    </cfRule>
    <cfRule type="containsText" dxfId="54" priority="12" operator="containsText" text="ja">
      <formula>NOT(ISERROR(SEARCH("ja",D45)))</formula>
    </cfRule>
  </conditionalFormatting>
  <conditionalFormatting sqref="D10:J15">
    <cfRule type="containsText" dxfId="53" priority="1" operator="containsText" text="nee">
      <formula>NOT(ISERROR(SEARCH("nee",D10)))</formula>
    </cfRule>
    <cfRule type="containsText" dxfId="52" priority="2" operator="containsText" text="optie">
      <formula>NOT(ISERROR(SEARCH("optie",D10)))</formula>
    </cfRule>
    <cfRule type="containsText" dxfId="51" priority="3" operator="containsText" text="ja">
      <formula>NOT(ISERROR(SEARCH("ja",D10)))</formula>
    </cfRule>
  </conditionalFormatting>
  <pageMargins left="0.25" right="0.25" top="0.75" bottom="0.75" header="0.3" footer="0.3"/>
  <pageSetup paperSize="8"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9">
    <tabColor rgb="FFFF0000"/>
    <pageSetUpPr fitToPage="1"/>
  </sheetPr>
  <dimension ref="A1:O70"/>
  <sheetViews>
    <sheetView showGridLines="0" zoomScale="115" zoomScaleNormal="115" workbookViewId="0">
      <pane xSplit="2" ySplit="8" topLeftCell="C9" activePane="bottomRight" state="frozen"/>
      <selection pane="topRight" activeCell="U28" sqref="U28"/>
      <selection pane="bottomLeft" activeCell="U28" sqref="U28"/>
      <selection pane="bottomRight" activeCell="H2" sqref="H2"/>
    </sheetView>
  </sheetViews>
  <sheetFormatPr defaultColWidth="8.7109375" defaultRowHeight="11.25" outlineLevelCol="1" x14ac:dyDescent="0.25"/>
  <cols>
    <col min="1" max="1" width="12.7109375" style="378" customWidth="1"/>
    <col min="2" max="2" width="42.42578125" style="378" customWidth="1"/>
    <col min="3" max="3" width="45.5703125" style="378" customWidth="1"/>
    <col min="4" max="7" width="3.7109375" style="378" hidden="1" customWidth="1" outlineLevel="1"/>
    <col min="8" max="8" width="3.7109375" style="378" customWidth="1" outlineLevel="1"/>
    <col min="9" max="10" width="3.7109375" style="378" hidden="1" customWidth="1" outlineLevel="1"/>
    <col min="11" max="12" width="9.7109375" style="400" customWidth="1"/>
    <col min="13" max="13" width="10.42578125" style="411" customWidth="1"/>
    <col min="14" max="14" width="13.7109375" style="401" bestFit="1" customWidth="1"/>
    <col min="15" max="15" width="8.42578125" style="399" customWidth="1"/>
    <col min="16" max="16384" width="8.7109375" style="378"/>
  </cols>
  <sheetData>
    <row r="1" spans="1:15" s="365" customFormat="1" ht="24" customHeight="1" x14ac:dyDescent="0.35">
      <c r="A1" s="318" t="s">
        <v>66</v>
      </c>
      <c r="B1" s="318"/>
      <c r="C1" s="318"/>
      <c r="D1" s="318"/>
      <c r="E1" s="318"/>
      <c r="F1" s="318"/>
      <c r="G1" s="318"/>
      <c r="H1" s="318"/>
      <c r="I1" s="318"/>
      <c r="J1" s="318"/>
      <c r="K1" s="318"/>
      <c r="L1" s="275"/>
      <c r="M1" s="275"/>
      <c r="N1" s="318"/>
      <c r="O1" s="364"/>
    </row>
    <row r="2" spans="1:15" s="366" customFormat="1" x14ac:dyDescent="0.25">
      <c r="A2" s="319" t="s">
        <v>114</v>
      </c>
      <c r="L2" s="413"/>
      <c r="M2" s="414"/>
      <c r="N2" s="367"/>
    </row>
    <row r="3" spans="1:15" s="366" customFormat="1" ht="12.75" x14ac:dyDescent="0.25">
      <c r="A3" s="366" t="s">
        <v>72</v>
      </c>
      <c r="B3" s="320" t="str" cm="1">
        <f t="array" ref="B3:C3">'Invul- en verrekenblad'!E5:F5</f>
        <v>CROW400 Definitief versie 1.3 - 2026</v>
      </c>
      <c r="C3" s="366">
        <v>0</v>
      </c>
      <c r="L3" s="413"/>
      <c r="M3" s="414"/>
      <c r="N3" s="367"/>
    </row>
    <row r="4" spans="1:15" s="366" customFormat="1" ht="13.9" customHeight="1" x14ac:dyDescent="0.25">
      <c r="A4" s="366" t="s">
        <v>74</v>
      </c>
      <c r="B4" s="422">
        <f>'Invul- en verrekenblad'!E6</f>
        <v>46119</v>
      </c>
      <c r="L4" s="413"/>
      <c r="M4" s="414"/>
      <c r="N4" s="367"/>
    </row>
    <row r="5" spans="1:15" s="366" customFormat="1" x14ac:dyDescent="0.25">
      <c r="A5" s="366" t="s">
        <v>76</v>
      </c>
      <c r="B5" s="322" t="str">
        <f>'Invul- en verrekenblad'!E7</f>
        <v>Alliander SRM Sourcing - Contractmanagement Aannemerij</v>
      </c>
      <c r="L5" s="413"/>
      <c r="M5" s="414"/>
      <c r="N5" s="367"/>
    </row>
    <row r="6" spans="1:15" s="366" customFormat="1" ht="18.75" x14ac:dyDescent="0.3">
      <c r="B6" s="468" t="s">
        <v>330</v>
      </c>
      <c r="C6" s="422"/>
      <c r="L6" s="413"/>
      <c r="M6" s="414"/>
      <c r="N6" s="367"/>
    </row>
    <row r="7" spans="1:15" s="365" customFormat="1" ht="12" thickBot="1" x14ac:dyDescent="0.25">
      <c r="C7" s="424"/>
      <c r="L7" s="276"/>
      <c r="M7" s="279"/>
      <c r="N7" s="369"/>
    </row>
    <row r="8" spans="1:15" s="365" customFormat="1" ht="23.25" customHeight="1" thickBot="1" x14ac:dyDescent="0.25">
      <c r="A8" s="425" t="s">
        <v>184</v>
      </c>
      <c r="B8" s="426" t="s">
        <v>185</v>
      </c>
      <c r="C8" s="426" t="s">
        <v>186</v>
      </c>
      <c r="D8" s="491"/>
      <c r="E8" s="491"/>
      <c r="F8" s="491"/>
      <c r="G8" s="491"/>
      <c r="H8" s="491"/>
      <c r="I8" s="491"/>
      <c r="J8" s="491"/>
      <c r="K8" s="328"/>
      <c r="L8" s="492"/>
      <c r="M8" s="492"/>
      <c r="N8" s="370"/>
      <c r="O8" s="371"/>
    </row>
    <row r="9" spans="1:15" s="365" customFormat="1" ht="51" customHeight="1" thickBot="1" x14ac:dyDescent="0.25">
      <c r="A9" s="427">
        <v>1</v>
      </c>
      <c r="B9" s="330" t="s">
        <v>124</v>
      </c>
      <c r="C9" s="327"/>
      <c r="D9" s="428" t="s">
        <v>313</v>
      </c>
      <c r="E9" s="429" t="s">
        <v>117</v>
      </c>
      <c r="F9" s="429" t="s">
        <v>118</v>
      </c>
      <c r="G9" s="430" t="s">
        <v>119</v>
      </c>
      <c r="H9" s="430" t="s">
        <v>120</v>
      </c>
      <c r="I9" s="431" t="s">
        <v>121</v>
      </c>
      <c r="J9" s="431" t="s">
        <v>122</v>
      </c>
      <c r="K9" s="372" t="s">
        <v>187</v>
      </c>
      <c r="L9" s="410" t="s">
        <v>188</v>
      </c>
      <c r="M9" s="415" t="s">
        <v>189</v>
      </c>
      <c r="N9" s="373" t="s">
        <v>190</v>
      </c>
      <c r="O9" s="374"/>
    </row>
    <row r="10" spans="1:15" s="379" customFormat="1" ht="33.75" x14ac:dyDescent="0.2">
      <c r="A10" s="432" t="s">
        <v>191</v>
      </c>
      <c r="B10" s="353" t="s">
        <v>192</v>
      </c>
      <c r="C10" s="353" t="s">
        <v>193</v>
      </c>
      <c r="D10" s="375" t="s">
        <v>194</v>
      </c>
      <c r="E10" s="375" t="s">
        <v>115</v>
      </c>
      <c r="F10" s="375" t="s">
        <v>115</v>
      </c>
      <c r="G10" s="375" t="s">
        <v>115</v>
      </c>
      <c r="H10" s="375" t="s">
        <v>115</v>
      </c>
      <c r="I10" s="375" t="s">
        <v>115</v>
      </c>
      <c r="J10" s="375" t="s">
        <v>115</v>
      </c>
      <c r="K10" s="375">
        <f>IF(('Invul- en verrekenblad'!B19+'Invul- en verrekenblad'!B20)&gt;0,0,'Invul- en verrekenblad'!B18)</f>
        <v>0</v>
      </c>
      <c r="L10" s="403" t="s">
        <v>195</v>
      </c>
      <c r="M10" s="416">
        <f>Gegevensblad!M10</f>
        <v>788.15229749355558</v>
      </c>
      <c r="N10" s="376">
        <f>IF('Invul- en verrekenblad'!B5="1.1  Aansluitingen + Net",K10*M10,0)</f>
        <v>0</v>
      </c>
      <c r="O10" s="377"/>
    </row>
    <row r="11" spans="1:15" s="379" customFormat="1" ht="33.75" x14ac:dyDescent="0.2">
      <c r="A11" s="433" t="s">
        <v>196</v>
      </c>
      <c r="B11" s="354" t="s">
        <v>197</v>
      </c>
      <c r="C11" s="354" t="s">
        <v>193</v>
      </c>
      <c r="D11" s="380" t="s">
        <v>194</v>
      </c>
      <c r="E11" s="380" t="s">
        <v>115</v>
      </c>
      <c r="F11" s="380" t="s">
        <v>115</v>
      </c>
      <c r="G11" s="380" t="s">
        <v>115</v>
      </c>
      <c r="H11" s="380" t="s">
        <v>115</v>
      </c>
      <c r="I11" s="380" t="s">
        <v>115</v>
      </c>
      <c r="J11" s="380" t="s">
        <v>115</v>
      </c>
      <c r="K11" s="380">
        <f>IF(('Invul- en verrekenblad'!B19+'Invul- en verrekenblad'!B20)&gt;0,0,'Invul- en verrekenblad'!B18)</f>
        <v>0</v>
      </c>
      <c r="L11" s="404" t="s">
        <v>195</v>
      </c>
      <c r="M11" s="461">
        <f>Gegevensblad!M11</f>
        <v>685.99735823544768</v>
      </c>
      <c r="N11" s="381">
        <f>IF('Invul- en verrekenblad'!B5="1.1a Aansluitingen",K11*M11,0)</f>
        <v>0</v>
      </c>
    </row>
    <row r="12" spans="1:15" s="379" customFormat="1" ht="33.75" x14ac:dyDescent="0.2">
      <c r="A12" s="433" t="s">
        <v>198</v>
      </c>
      <c r="B12" s="354" t="s">
        <v>199</v>
      </c>
      <c r="C12" s="354" t="s">
        <v>193</v>
      </c>
      <c r="D12" s="380" t="s">
        <v>194</v>
      </c>
      <c r="E12" s="380" t="s">
        <v>115</v>
      </c>
      <c r="F12" s="380" t="s">
        <v>115</v>
      </c>
      <c r="G12" s="380" t="s">
        <v>115</v>
      </c>
      <c r="H12" s="380" t="s">
        <v>115</v>
      </c>
      <c r="I12" s="380" t="s">
        <v>115</v>
      </c>
      <c r="J12" s="380" t="s">
        <v>115</v>
      </c>
      <c r="K12" s="380">
        <f>IF(('Invul- en verrekenblad'!B19+'Invul- en verrekenblad'!B20)&gt;0,0,'Invul- en verrekenblad'!B18)</f>
        <v>0</v>
      </c>
      <c r="L12" s="404" t="s">
        <v>195</v>
      </c>
      <c r="M12" s="461">
        <f>Gegevensblad!M12</f>
        <v>903.01067714958174</v>
      </c>
      <c r="N12" s="381">
        <f>IF('Invul- en verrekenblad'!B5="1.1b Net",K12*M12,0)</f>
        <v>0</v>
      </c>
      <c r="O12" s="382"/>
    </row>
    <row r="13" spans="1:15" s="379" customFormat="1" ht="33.75" x14ac:dyDescent="0.2">
      <c r="A13" s="433" t="s">
        <v>200</v>
      </c>
      <c r="B13" s="354" t="s">
        <v>201</v>
      </c>
      <c r="C13" s="354" t="s">
        <v>202</v>
      </c>
      <c r="D13" s="380" t="s">
        <v>194</v>
      </c>
      <c r="E13" s="434" t="s">
        <v>203</v>
      </c>
      <c r="F13" s="434" t="s">
        <v>203</v>
      </c>
      <c r="G13" s="434" t="s">
        <v>203</v>
      </c>
      <c r="H13" s="434" t="s">
        <v>203</v>
      </c>
      <c r="I13" s="434" t="s">
        <v>203</v>
      </c>
      <c r="J13" s="434" t="s">
        <v>203</v>
      </c>
      <c r="K13" s="380">
        <f>IF(('Invul- en verrekenblad'!B19+'Invul- en verrekenblad'!B20)&gt;0,0,IF(Variabelen!H9="ja",1,0))</f>
        <v>0</v>
      </c>
      <c r="L13" s="404" t="s">
        <v>195</v>
      </c>
      <c r="M13" s="461">
        <f>Gegevensblad!M13</f>
        <v>13.93021898974199</v>
      </c>
      <c r="N13" s="381">
        <f>IF('Invul- en verrekenblad'!B5="1.1  Aansluitingen + Net",K13*M13,0)</f>
        <v>0</v>
      </c>
      <c r="O13" s="382"/>
    </row>
    <row r="14" spans="1:15" s="379" customFormat="1" ht="33.75" x14ac:dyDescent="0.2">
      <c r="A14" s="433" t="s">
        <v>314</v>
      </c>
      <c r="B14" s="354" t="s">
        <v>201</v>
      </c>
      <c r="C14" s="354" t="s">
        <v>202</v>
      </c>
      <c r="D14" s="380" t="s">
        <v>194</v>
      </c>
      <c r="E14" s="434" t="s">
        <v>203</v>
      </c>
      <c r="F14" s="434" t="s">
        <v>203</v>
      </c>
      <c r="G14" s="434" t="s">
        <v>203</v>
      </c>
      <c r="H14" s="434" t="s">
        <v>203</v>
      </c>
      <c r="I14" s="434" t="s">
        <v>203</v>
      </c>
      <c r="J14" s="434" t="s">
        <v>203</v>
      </c>
      <c r="K14" s="380">
        <f>IF(('Invul- en verrekenblad'!B19+'Invul- en verrekenblad'!B20)&gt;0,0,IF(Variabelen!H9="ja",1,0))</f>
        <v>0</v>
      </c>
      <c r="L14" s="404" t="s">
        <v>195</v>
      </c>
      <c r="M14" s="461">
        <f>Gegevensblad!M14</f>
        <v>0</v>
      </c>
      <c r="N14" s="381">
        <f>IF('Invul- en verrekenblad'!B5="1.1a Aansluitingen",K14*M14,0)</f>
        <v>0</v>
      </c>
      <c r="O14" s="382"/>
    </row>
    <row r="15" spans="1:15" s="379" customFormat="1" ht="33.75" x14ac:dyDescent="0.2">
      <c r="A15" s="433" t="s">
        <v>315</v>
      </c>
      <c r="B15" s="354" t="s">
        <v>201</v>
      </c>
      <c r="C15" s="354" t="s">
        <v>202</v>
      </c>
      <c r="D15" s="380" t="s">
        <v>194</v>
      </c>
      <c r="E15" s="434" t="s">
        <v>203</v>
      </c>
      <c r="F15" s="434" t="s">
        <v>203</v>
      </c>
      <c r="G15" s="434" t="s">
        <v>203</v>
      </c>
      <c r="H15" s="434" t="s">
        <v>203</v>
      </c>
      <c r="I15" s="434" t="s">
        <v>203</v>
      </c>
      <c r="J15" s="434" t="s">
        <v>203</v>
      </c>
      <c r="K15" s="380">
        <f>IF(('Invul- en verrekenblad'!B19+'Invul- en verrekenblad'!B20)&gt;0,0,IF(Variabelen!H9="ja",1,0))</f>
        <v>0</v>
      </c>
      <c r="L15" s="404" t="s">
        <v>195</v>
      </c>
      <c r="M15" s="461">
        <f>Gegevensblad!M15</f>
        <v>27.860437979483979</v>
      </c>
      <c r="N15" s="381">
        <f>IF('Invul- en verrekenblad'!B5="1.1b Net",K15*M15,0)</f>
        <v>0</v>
      </c>
      <c r="O15" s="382"/>
    </row>
    <row r="16" spans="1:15" s="379" customFormat="1" ht="33.75" x14ac:dyDescent="0.2">
      <c r="A16" s="435" t="s">
        <v>204</v>
      </c>
      <c r="B16" s="354" t="s">
        <v>205</v>
      </c>
      <c r="C16" s="436" t="s">
        <v>206</v>
      </c>
      <c r="D16" s="380" t="s">
        <v>194</v>
      </c>
      <c r="E16" s="380" t="s">
        <v>115</v>
      </c>
      <c r="F16" s="380" t="s">
        <v>115</v>
      </c>
      <c r="G16" s="380" t="s">
        <v>115</v>
      </c>
      <c r="H16" s="380" t="s">
        <v>115</v>
      </c>
      <c r="I16" s="380" t="s">
        <v>115</v>
      </c>
      <c r="J16" s="380" t="s">
        <v>207</v>
      </c>
      <c r="K16" s="380">
        <f>IF(('Invul- en verrekenblad'!B19+'Invul- en verrekenblad'!B20)&gt;0,0,'Invul- en verrekenblad'!B18)</f>
        <v>0</v>
      </c>
      <c r="L16" s="404" t="s">
        <v>195</v>
      </c>
      <c r="M16" s="461">
        <f>Gegevensblad!M16</f>
        <v>297.67270594861179</v>
      </c>
      <c r="N16" s="381">
        <f>K16*M16</f>
        <v>0</v>
      </c>
      <c r="O16" s="383"/>
    </row>
    <row r="17" spans="1:15" ht="56.25" x14ac:dyDescent="0.2">
      <c r="A17" s="435" t="s">
        <v>208</v>
      </c>
      <c r="B17" s="354" t="s">
        <v>209</v>
      </c>
      <c r="C17" s="436" t="s">
        <v>327</v>
      </c>
      <c r="D17" s="380" t="s">
        <v>194</v>
      </c>
      <c r="E17" s="380" t="s">
        <v>194</v>
      </c>
      <c r="F17" s="380" t="s">
        <v>194</v>
      </c>
      <c r="G17" s="380" t="s">
        <v>115</v>
      </c>
      <c r="H17" s="380" t="s">
        <v>115</v>
      </c>
      <c r="I17" s="380" t="s">
        <v>115</v>
      </c>
      <c r="J17" s="380" t="s">
        <v>207</v>
      </c>
      <c r="K17" s="380">
        <f>IF(('Invul- en verrekenblad'!B19+'Invul- en verrekenblad'!B20)&gt;0,0,'Invul- en verrekenblad'!B18)</f>
        <v>0</v>
      </c>
      <c r="L17" s="404" t="s">
        <v>195</v>
      </c>
      <c r="M17" s="461">
        <f>Gegevensblad!M17</f>
        <v>222.88350383587184</v>
      </c>
      <c r="N17" s="381">
        <f>K17*M17</f>
        <v>0</v>
      </c>
      <c r="O17" s="377"/>
    </row>
    <row r="18" spans="1:15" ht="23.25" thickBot="1" x14ac:dyDescent="0.25">
      <c r="A18" s="438" t="s">
        <v>211</v>
      </c>
      <c r="B18" s="356" t="s">
        <v>212</v>
      </c>
      <c r="C18" s="356" t="s">
        <v>328</v>
      </c>
      <c r="D18" s="357" t="s">
        <v>194</v>
      </c>
      <c r="E18" s="357" t="s">
        <v>194</v>
      </c>
      <c r="F18" s="357" t="s">
        <v>194</v>
      </c>
      <c r="G18" s="357" t="s">
        <v>115</v>
      </c>
      <c r="H18" s="357" t="s">
        <v>115</v>
      </c>
      <c r="I18" s="357" t="s">
        <v>115</v>
      </c>
      <c r="J18" s="357" t="s">
        <v>115</v>
      </c>
      <c r="K18" s="357">
        <f>IF(('Invul- en verrekenblad'!B19+'Invul- en verrekenblad'!B20)&gt;0,0,'Invul- en verrekenblad'!B18)</f>
        <v>0</v>
      </c>
      <c r="L18" s="405" t="s">
        <v>195</v>
      </c>
      <c r="M18" s="462">
        <f>Gegevensblad!M18</f>
        <v>118.65161551936055</v>
      </c>
      <c r="N18" s="384">
        <f>K18*M18</f>
        <v>0</v>
      </c>
      <c r="O18" s="377"/>
    </row>
    <row r="19" spans="1:15" ht="47.25" thickBot="1" x14ac:dyDescent="0.25">
      <c r="A19" s="439">
        <v>2</v>
      </c>
      <c r="B19" s="330" t="s">
        <v>127</v>
      </c>
      <c r="C19" s="327"/>
      <c r="D19" s="428" t="s">
        <v>313</v>
      </c>
      <c r="E19" s="429" t="s">
        <v>117</v>
      </c>
      <c r="F19" s="429" t="s">
        <v>118</v>
      </c>
      <c r="G19" s="430" t="s">
        <v>119</v>
      </c>
      <c r="H19" s="430" t="s">
        <v>120</v>
      </c>
      <c r="I19" s="431" t="s">
        <v>121</v>
      </c>
      <c r="J19" s="431" t="s">
        <v>122</v>
      </c>
      <c r="K19" s="372"/>
      <c r="L19" s="410" t="s">
        <v>188</v>
      </c>
      <c r="M19" s="415" t="str">
        <f>Gegevensblad!M19</f>
        <v>Subtotaal Mensen</v>
      </c>
      <c r="N19" s="385"/>
      <c r="O19" s="386"/>
    </row>
    <row r="20" spans="1:15" ht="33.75" x14ac:dyDescent="0.25">
      <c r="A20" s="440" t="s">
        <v>214</v>
      </c>
      <c r="B20" s="353" t="s">
        <v>215</v>
      </c>
      <c r="C20" s="353" t="s">
        <v>216</v>
      </c>
      <c r="D20" s="375" t="s">
        <v>194</v>
      </c>
      <c r="E20" s="441" t="s">
        <v>115</v>
      </c>
      <c r="F20" s="441" t="s">
        <v>115</v>
      </c>
      <c r="G20" s="441" t="s">
        <v>115</v>
      </c>
      <c r="H20" s="375" t="s">
        <v>194</v>
      </c>
      <c r="I20" s="375" t="s">
        <v>194</v>
      </c>
      <c r="J20" s="375" t="s">
        <v>194</v>
      </c>
      <c r="K20" s="403"/>
      <c r="L20" s="403" t="s">
        <v>217</v>
      </c>
      <c r="M20" s="409">
        <f>Gegevensblad!M20</f>
        <v>811.64024501280403</v>
      </c>
      <c r="N20" s="456">
        <f t="shared" ref="N20:N26" si="0">K20*M20</f>
        <v>0</v>
      </c>
      <c r="O20" s="377"/>
    </row>
    <row r="21" spans="1:15" ht="33.75" x14ac:dyDescent="0.25">
      <c r="A21" s="442" t="s">
        <v>218</v>
      </c>
      <c r="B21" s="354" t="s">
        <v>219</v>
      </c>
      <c r="C21" s="354" t="s">
        <v>220</v>
      </c>
      <c r="D21" s="380" t="s">
        <v>194</v>
      </c>
      <c r="E21" s="380" t="s">
        <v>194</v>
      </c>
      <c r="F21" s="380" t="s">
        <v>194</v>
      </c>
      <c r="G21" s="380" t="s">
        <v>194</v>
      </c>
      <c r="H21" s="443" t="s">
        <v>115</v>
      </c>
      <c r="I21" s="443" t="s">
        <v>115</v>
      </c>
      <c r="J21" s="443" t="s">
        <v>115</v>
      </c>
      <c r="K21" s="380">
        <f>'Invul- en verrekenblad'!C18</f>
        <v>0</v>
      </c>
      <c r="L21" s="404" t="s">
        <v>217</v>
      </c>
      <c r="M21" s="412">
        <f>Gegevensblad!M21</f>
        <v>811.64024501280403</v>
      </c>
      <c r="N21" s="388">
        <f t="shared" si="0"/>
        <v>0</v>
      </c>
      <c r="O21" s="377"/>
    </row>
    <row r="22" spans="1:15" ht="33.75" x14ac:dyDescent="0.25">
      <c r="A22" s="442" t="s">
        <v>221</v>
      </c>
      <c r="B22" s="354" t="s">
        <v>222</v>
      </c>
      <c r="C22" s="354" t="s">
        <v>223</v>
      </c>
      <c r="D22" s="380" t="s">
        <v>194</v>
      </c>
      <c r="E22" s="380" t="s">
        <v>194</v>
      </c>
      <c r="F22" s="380" t="s">
        <v>194</v>
      </c>
      <c r="G22" s="380" t="s">
        <v>194</v>
      </c>
      <c r="H22" s="443" t="s">
        <v>194</v>
      </c>
      <c r="I22" s="443" t="s">
        <v>115</v>
      </c>
      <c r="J22" s="443" t="s">
        <v>115</v>
      </c>
      <c r="K22" s="404"/>
      <c r="L22" s="404" t="s">
        <v>217</v>
      </c>
      <c r="M22" s="412">
        <f>Gegevensblad!M22</f>
        <v>0</v>
      </c>
      <c r="N22" s="457">
        <f t="shared" si="0"/>
        <v>0</v>
      </c>
      <c r="O22" s="377"/>
    </row>
    <row r="23" spans="1:15" ht="33.75" x14ac:dyDescent="0.25">
      <c r="A23" s="442" t="s">
        <v>224</v>
      </c>
      <c r="B23" s="354" t="s">
        <v>225</v>
      </c>
      <c r="C23" s="354" t="s">
        <v>226</v>
      </c>
      <c r="D23" s="380" t="s">
        <v>194</v>
      </c>
      <c r="E23" s="380" t="s">
        <v>194</v>
      </c>
      <c r="F23" s="380" t="s">
        <v>194</v>
      </c>
      <c r="G23" s="380" t="s">
        <v>194</v>
      </c>
      <c r="H23" s="443" t="s">
        <v>115</v>
      </c>
      <c r="I23" s="443" t="s">
        <v>115</v>
      </c>
      <c r="J23" s="443" t="s">
        <v>115</v>
      </c>
      <c r="K23" s="380">
        <f>'Invul- en verrekenblad'!C18</f>
        <v>0</v>
      </c>
      <c r="L23" s="404" t="s">
        <v>217</v>
      </c>
      <c r="M23" s="412">
        <f>Gegevensblad!M23</f>
        <v>0</v>
      </c>
      <c r="N23" s="388">
        <f t="shared" si="0"/>
        <v>0</v>
      </c>
      <c r="O23" s="377"/>
    </row>
    <row r="24" spans="1:15" ht="33.75" x14ac:dyDescent="0.25">
      <c r="A24" s="442" t="s">
        <v>227</v>
      </c>
      <c r="B24" s="354" t="s">
        <v>228</v>
      </c>
      <c r="C24" s="354" t="s">
        <v>229</v>
      </c>
      <c r="D24" s="380" t="s">
        <v>194</v>
      </c>
      <c r="E24" s="380" t="s">
        <v>115</v>
      </c>
      <c r="F24" s="443" t="s">
        <v>115</v>
      </c>
      <c r="G24" s="443" t="s">
        <v>115</v>
      </c>
      <c r="H24" s="380" t="s">
        <v>194</v>
      </c>
      <c r="I24" s="380" t="s">
        <v>194</v>
      </c>
      <c r="J24" s="380" t="s">
        <v>194</v>
      </c>
      <c r="K24" s="404"/>
      <c r="L24" s="404" t="s">
        <v>217</v>
      </c>
      <c r="M24" s="412">
        <f>Gegevensblad!M24</f>
        <v>49.661587741513571</v>
      </c>
      <c r="N24" s="457">
        <f t="shared" si="0"/>
        <v>0</v>
      </c>
      <c r="O24" s="377"/>
    </row>
    <row r="25" spans="1:15" ht="45" x14ac:dyDescent="0.25">
      <c r="A25" s="442" t="s">
        <v>230</v>
      </c>
      <c r="B25" s="354" t="s">
        <v>231</v>
      </c>
      <c r="C25" s="354" t="s">
        <v>232</v>
      </c>
      <c r="D25" s="380" t="s">
        <v>194</v>
      </c>
      <c r="E25" s="380" t="s">
        <v>194</v>
      </c>
      <c r="F25" s="380" t="s">
        <v>194</v>
      </c>
      <c r="G25" s="380" t="s">
        <v>194</v>
      </c>
      <c r="H25" s="443" t="s">
        <v>115</v>
      </c>
      <c r="I25" s="443" t="s">
        <v>115</v>
      </c>
      <c r="J25" s="443" t="s">
        <v>115</v>
      </c>
      <c r="K25" s="380">
        <f>'Invul- en verrekenblad'!C18</f>
        <v>0</v>
      </c>
      <c r="L25" s="404" t="s">
        <v>217</v>
      </c>
      <c r="M25" s="412">
        <f>Gegevensblad!M25</f>
        <v>60.976513910007291</v>
      </c>
      <c r="N25" s="388">
        <f t="shared" si="0"/>
        <v>0</v>
      </c>
      <c r="O25" s="377"/>
    </row>
    <row r="26" spans="1:15" ht="57.6" customHeight="1" thickBot="1" x14ac:dyDescent="0.3">
      <c r="A26" s="444" t="s">
        <v>128</v>
      </c>
      <c r="B26" s="356" t="s">
        <v>233</v>
      </c>
      <c r="C26" s="356" t="s">
        <v>316</v>
      </c>
      <c r="D26" s="357" t="s">
        <v>194</v>
      </c>
      <c r="E26" s="445" t="s">
        <v>203</v>
      </c>
      <c r="F26" s="445" t="s">
        <v>203</v>
      </c>
      <c r="G26" s="445" t="s">
        <v>203</v>
      </c>
      <c r="H26" s="445" t="s">
        <v>203</v>
      </c>
      <c r="I26" s="445" t="s">
        <v>203</v>
      </c>
      <c r="J26" s="445" t="s">
        <v>203</v>
      </c>
      <c r="K26" s="357" t="b">
        <f>IF('Invul- en verrekenblad'!B18=1,IF(Variabelen!H11="ja",1,0))</f>
        <v>0</v>
      </c>
      <c r="L26" s="389" t="s">
        <v>235</v>
      </c>
      <c r="M26" s="390">
        <f>Variabelen!$L$11</f>
        <v>0</v>
      </c>
      <c r="N26" s="391">
        <f t="shared" si="0"/>
        <v>0</v>
      </c>
      <c r="O26" s="377"/>
    </row>
    <row r="27" spans="1:15" ht="47.25" thickBot="1" x14ac:dyDescent="0.25">
      <c r="A27" s="439">
        <v>3</v>
      </c>
      <c r="B27" s="330" t="s">
        <v>236</v>
      </c>
      <c r="C27" s="327"/>
      <c r="D27" s="428" t="s">
        <v>313</v>
      </c>
      <c r="E27" s="429" t="s">
        <v>117</v>
      </c>
      <c r="F27" s="429" t="s">
        <v>118</v>
      </c>
      <c r="G27" s="430" t="s">
        <v>119</v>
      </c>
      <c r="H27" s="430" t="s">
        <v>120</v>
      </c>
      <c r="I27" s="431" t="s">
        <v>121</v>
      </c>
      <c r="J27" s="431" t="s">
        <v>122</v>
      </c>
      <c r="K27" s="372"/>
      <c r="L27" s="372" t="s">
        <v>188</v>
      </c>
      <c r="M27" s="415" t="str">
        <f>Gegevensblad!M27</f>
        <v>Prijs per eenheid (€)</v>
      </c>
      <c r="N27" s="385"/>
      <c r="O27" s="386"/>
    </row>
    <row r="28" spans="1:15" ht="67.5" x14ac:dyDescent="0.25">
      <c r="A28" s="440" t="s">
        <v>237</v>
      </c>
      <c r="B28" s="353" t="s">
        <v>238</v>
      </c>
      <c r="C28" s="353" t="s">
        <v>239</v>
      </c>
      <c r="D28" s="375" t="s">
        <v>194</v>
      </c>
      <c r="E28" s="375" t="s">
        <v>115</v>
      </c>
      <c r="F28" s="375" t="s">
        <v>115</v>
      </c>
      <c r="G28" s="441" t="s">
        <v>115</v>
      </c>
      <c r="H28" s="375" t="s">
        <v>194</v>
      </c>
      <c r="I28" s="375" t="s">
        <v>194</v>
      </c>
      <c r="J28" s="375" t="s">
        <v>194</v>
      </c>
      <c r="K28" s="403"/>
      <c r="L28" s="375" t="s">
        <v>195</v>
      </c>
      <c r="M28" s="409">
        <f>Gegevensblad!M28</f>
        <v>620.76984676891959</v>
      </c>
      <c r="N28" s="456">
        <f>K28*M28</f>
        <v>0</v>
      </c>
      <c r="O28" s="377"/>
    </row>
    <row r="29" spans="1:15" ht="82.15" customHeight="1" thickBot="1" x14ac:dyDescent="0.3">
      <c r="A29" s="355" t="s">
        <v>240</v>
      </c>
      <c r="B29" s="356" t="s">
        <v>241</v>
      </c>
      <c r="C29" s="356" t="s">
        <v>242</v>
      </c>
      <c r="D29" s="357" t="s">
        <v>194</v>
      </c>
      <c r="E29" s="357" t="s">
        <v>194</v>
      </c>
      <c r="F29" s="357" t="s">
        <v>194</v>
      </c>
      <c r="G29" s="357" t="s">
        <v>194</v>
      </c>
      <c r="H29" s="445" t="s">
        <v>115</v>
      </c>
      <c r="I29" s="445" t="s">
        <v>115</v>
      </c>
      <c r="J29" s="445" t="s">
        <v>115</v>
      </c>
      <c r="K29" s="357">
        <f>IF(('Invul- en verrekenblad'!B19+'Invul- en verrekenblad'!B20)&gt;0,0,'Invul- en verrekenblad'!B18)</f>
        <v>0</v>
      </c>
      <c r="L29" s="357" t="s">
        <v>195</v>
      </c>
      <c r="M29" s="419">
        <f>Gegevensblad!M29</f>
        <v>762.2064238750911</v>
      </c>
      <c r="N29" s="391">
        <f>K29*M29</f>
        <v>0</v>
      </c>
      <c r="O29" s="377"/>
    </row>
    <row r="30" spans="1:15" ht="47.25" thickBot="1" x14ac:dyDescent="0.25">
      <c r="A30" s="427">
        <v>4</v>
      </c>
      <c r="B30" s="330" t="s">
        <v>131</v>
      </c>
      <c r="C30" s="327"/>
      <c r="D30" s="428" t="s">
        <v>313</v>
      </c>
      <c r="E30" s="429" t="s">
        <v>117</v>
      </c>
      <c r="F30" s="429" t="s">
        <v>118</v>
      </c>
      <c r="G30" s="430" t="s">
        <v>119</v>
      </c>
      <c r="H30" s="430" t="s">
        <v>120</v>
      </c>
      <c r="I30" s="431" t="s">
        <v>121</v>
      </c>
      <c r="J30" s="431" t="s">
        <v>122</v>
      </c>
      <c r="K30" s="372"/>
      <c r="L30" s="372" t="s">
        <v>188</v>
      </c>
      <c r="M30" s="415" t="str">
        <f>Gegevensblad!M30</f>
        <v>Prijs per eenheid (€)</v>
      </c>
      <c r="N30" s="385"/>
      <c r="O30" s="386"/>
    </row>
    <row r="31" spans="1:15" ht="45" x14ac:dyDescent="0.25">
      <c r="A31" s="446" t="s">
        <v>132</v>
      </c>
      <c r="B31" s="353" t="s">
        <v>133</v>
      </c>
      <c r="C31" s="353" t="s">
        <v>243</v>
      </c>
      <c r="D31" s="375" t="s">
        <v>194</v>
      </c>
      <c r="E31" s="375" t="s">
        <v>194</v>
      </c>
      <c r="F31" s="375" t="s">
        <v>203</v>
      </c>
      <c r="G31" s="375" t="s">
        <v>194</v>
      </c>
      <c r="H31" s="375" t="s">
        <v>203</v>
      </c>
      <c r="I31" s="375" t="s">
        <v>194</v>
      </c>
      <c r="J31" s="375" t="s">
        <v>203</v>
      </c>
      <c r="K31" s="375" t="b">
        <f>IF('Invul- en verrekenblad'!B18=1,IF(Variabelen!H13="ja",1,0))</f>
        <v>0</v>
      </c>
      <c r="L31" s="392" t="s">
        <v>235</v>
      </c>
      <c r="M31" s="390">
        <f>Variabelen!$L$13</f>
        <v>0</v>
      </c>
      <c r="N31" s="387">
        <f>K31*M31</f>
        <v>0</v>
      </c>
      <c r="O31" s="377"/>
    </row>
    <row r="32" spans="1:15" ht="45" x14ac:dyDescent="0.25">
      <c r="A32" s="447" t="s">
        <v>134</v>
      </c>
      <c r="B32" s="354" t="s">
        <v>135</v>
      </c>
      <c r="C32" s="354" t="s">
        <v>243</v>
      </c>
      <c r="D32" s="380" t="s">
        <v>194</v>
      </c>
      <c r="E32" s="380" t="s">
        <v>194</v>
      </c>
      <c r="F32" s="380" t="s">
        <v>203</v>
      </c>
      <c r="G32" s="380" t="s">
        <v>194</v>
      </c>
      <c r="H32" s="380" t="s">
        <v>203</v>
      </c>
      <c r="I32" s="380" t="s">
        <v>194</v>
      </c>
      <c r="J32" s="380" t="s">
        <v>203</v>
      </c>
      <c r="K32" s="380" t="b">
        <f>IF('Invul- en verrekenblad'!B18=1,IF(Variabelen!H14="ja",1,0))</f>
        <v>0</v>
      </c>
      <c r="L32" s="393" t="s">
        <v>235</v>
      </c>
      <c r="M32" s="390">
        <f>Variabelen!$L$14</f>
        <v>0</v>
      </c>
      <c r="N32" s="388">
        <f>K32*M32</f>
        <v>0</v>
      </c>
      <c r="O32" s="377"/>
    </row>
    <row r="33" spans="1:15" ht="45.75" thickBot="1" x14ac:dyDescent="0.3">
      <c r="A33" s="444" t="s">
        <v>136</v>
      </c>
      <c r="B33" s="356" t="s">
        <v>137</v>
      </c>
      <c r="C33" s="356" t="s">
        <v>244</v>
      </c>
      <c r="D33" s="357" t="s">
        <v>194</v>
      </c>
      <c r="E33" s="357" t="s">
        <v>194</v>
      </c>
      <c r="F33" s="357" t="s">
        <v>203</v>
      </c>
      <c r="G33" s="357" t="s">
        <v>194</v>
      </c>
      <c r="H33" s="357" t="s">
        <v>203</v>
      </c>
      <c r="I33" s="357" t="s">
        <v>194</v>
      </c>
      <c r="J33" s="357" t="s">
        <v>203</v>
      </c>
      <c r="K33" s="357" t="b">
        <f>IF('Invul- en verrekenblad'!B18=1,IF(Variabelen!H15="ja",1,0))</f>
        <v>0</v>
      </c>
      <c r="L33" s="390" t="s">
        <v>235</v>
      </c>
      <c r="M33" s="390">
        <f>Variabelen!$L$15</f>
        <v>0</v>
      </c>
      <c r="N33" s="391">
        <f>K33*M33</f>
        <v>0</v>
      </c>
      <c r="O33" s="377"/>
    </row>
    <row r="34" spans="1:15" ht="48.75" customHeight="1" thickBot="1" x14ac:dyDescent="0.3">
      <c r="A34" s="427">
        <v>5</v>
      </c>
      <c r="B34" s="493" t="s">
        <v>245</v>
      </c>
      <c r="C34" s="493"/>
      <c r="D34" s="428" t="s">
        <v>313</v>
      </c>
      <c r="E34" s="429" t="s">
        <v>117</v>
      </c>
      <c r="F34" s="429" t="s">
        <v>118</v>
      </c>
      <c r="G34" s="430" t="s">
        <v>119</v>
      </c>
      <c r="H34" s="430" t="s">
        <v>120</v>
      </c>
      <c r="I34" s="431" t="s">
        <v>121</v>
      </c>
      <c r="J34" s="431" t="s">
        <v>122</v>
      </c>
      <c r="K34" s="372"/>
      <c r="L34" s="372" t="s">
        <v>188</v>
      </c>
      <c r="M34" s="410" t="str">
        <f>Gegevensblad!M34</f>
        <v>Prijs per eenheid (€)</v>
      </c>
      <c r="N34" s="385"/>
      <c r="O34" s="386"/>
    </row>
    <row r="35" spans="1:15" ht="33.75" x14ac:dyDescent="0.25">
      <c r="A35" s="440" t="s">
        <v>246</v>
      </c>
      <c r="B35" s="353" t="s">
        <v>247</v>
      </c>
      <c r="C35" s="353" t="s">
        <v>248</v>
      </c>
      <c r="D35" s="375" t="s">
        <v>115</v>
      </c>
      <c r="E35" s="375" t="s">
        <v>115</v>
      </c>
      <c r="F35" s="375" t="s">
        <v>115</v>
      </c>
      <c r="G35" s="375" t="s">
        <v>115</v>
      </c>
      <c r="H35" s="375" t="s">
        <v>115</v>
      </c>
      <c r="I35" s="375" t="s">
        <v>115</v>
      </c>
      <c r="J35" s="375" t="s">
        <v>115</v>
      </c>
      <c r="K35" s="375">
        <f>'Invul- en verrekenblad'!C18</f>
        <v>0</v>
      </c>
      <c r="L35" s="375" t="s">
        <v>217</v>
      </c>
      <c r="M35" s="403">
        <f>Gegevensblad!M35</f>
        <v>0</v>
      </c>
      <c r="N35" s="387">
        <f t="shared" ref="N35:N43" si="1">K35*M35</f>
        <v>0</v>
      </c>
      <c r="O35" s="377"/>
    </row>
    <row r="36" spans="1:15" ht="22.5" x14ac:dyDescent="0.25">
      <c r="A36" s="442" t="s">
        <v>139</v>
      </c>
      <c r="B36" s="354" t="s">
        <v>140</v>
      </c>
      <c r="C36" s="354" t="s">
        <v>249</v>
      </c>
      <c r="D36" s="380" t="s">
        <v>203</v>
      </c>
      <c r="E36" s="380" t="s">
        <v>203</v>
      </c>
      <c r="F36" s="380" t="s">
        <v>203</v>
      </c>
      <c r="G36" s="380" t="s">
        <v>115</v>
      </c>
      <c r="H36" s="380" t="s">
        <v>115</v>
      </c>
      <c r="I36" s="380" t="s">
        <v>115</v>
      </c>
      <c r="J36" s="380" t="s">
        <v>115</v>
      </c>
      <c r="K36" s="380">
        <f>IF(('Invul- en verrekenblad'!B19+'Invul- en verrekenblad'!B20)&gt;0,0,'Invul- en verrekenblad'!B18)</f>
        <v>0</v>
      </c>
      <c r="L36" s="380" t="s">
        <v>250</v>
      </c>
      <c r="M36" s="464">
        <f>Gegevensblad!M36</f>
        <v>9.9831560644368125</v>
      </c>
      <c r="N36" s="388">
        <f t="shared" si="1"/>
        <v>0</v>
      </c>
      <c r="O36" s="377"/>
    </row>
    <row r="37" spans="1:15" ht="33.75" x14ac:dyDescent="0.25">
      <c r="A37" s="447" t="s">
        <v>141</v>
      </c>
      <c r="B37" s="354" t="s">
        <v>251</v>
      </c>
      <c r="C37" s="354" t="s">
        <v>329</v>
      </c>
      <c r="D37" s="380" t="s">
        <v>194</v>
      </c>
      <c r="E37" s="380" t="s">
        <v>194</v>
      </c>
      <c r="F37" s="380" t="s">
        <v>194</v>
      </c>
      <c r="G37" s="434" t="s">
        <v>203</v>
      </c>
      <c r="H37" s="434" t="s">
        <v>203</v>
      </c>
      <c r="I37" s="434" t="s">
        <v>203</v>
      </c>
      <c r="J37" s="434" t="s">
        <v>203</v>
      </c>
      <c r="K37" s="380" t="b">
        <f>IF('Invul- en verrekenblad'!B18=1,IF(Variabelen!H18="ja",'Invul- en verrekenblad'!C18,0))</f>
        <v>0</v>
      </c>
      <c r="L37" s="380" t="s">
        <v>217</v>
      </c>
      <c r="M37" s="464">
        <f>Gegevensblad!M37</f>
        <v>152.18225707982944</v>
      </c>
      <c r="N37" s="388">
        <f t="shared" si="1"/>
        <v>0</v>
      </c>
      <c r="O37" s="377"/>
    </row>
    <row r="38" spans="1:15" ht="22.5" x14ac:dyDescent="0.25">
      <c r="A38" s="447" t="s">
        <v>143</v>
      </c>
      <c r="B38" s="354" t="s">
        <v>253</v>
      </c>
      <c r="C38" s="354" t="s">
        <v>254</v>
      </c>
      <c r="D38" s="380" t="s">
        <v>194</v>
      </c>
      <c r="E38" s="380" t="s">
        <v>194</v>
      </c>
      <c r="F38" s="380" t="s">
        <v>194</v>
      </c>
      <c r="G38" s="434" t="s">
        <v>203</v>
      </c>
      <c r="H38" s="434" t="s">
        <v>203</v>
      </c>
      <c r="I38" s="434" t="s">
        <v>203</v>
      </c>
      <c r="J38" s="434" t="s">
        <v>203</v>
      </c>
      <c r="K38" s="394" t="b">
        <f>IF('Invul- en verrekenblad'!B18=1,IF(Variabelen!H18="ja",Variabelen!H19,0))</f>
        <v>0</v>
      </c>
      <c r="L38" s="394" t="s">
        <v>268</v>
      </c>
      <c r="M38" s="471">
        <f>Gegevensblad!M38</f>
        <v>436.76307781911055</v>
      </c>
      <c r="N38" s="388">
        <f t="shared" si="1"/>
        <v>0</v>
      </c>
      <c r="O38" s="377"/>
    </row>
    <row r="39" spans="1:15" x14ac:dyDescent="0.25">
      <c r="A39" s="442" t="s">
        <v>255</v>
      </c>
      <c r="B39" s="354" t="s">
        <v>256</v>
      </c>
      <c r="C39" s="354" t="s">
        <v>257</v>
      </c>
      <c r="D39" s="380" t="s">
        <v>194</v>
      </c>
      <c r="E39" s="380" t="s">
        <v>115</v>
      </c>
      <c r="F39" s="380" t="s">
        <v>115</v>
      </c>
      <c r="G39" s="380" t="s">
        <v>115</v>
      </c>
      <c r="H39" s="380" t="s">
        <v>115</v>
      </c>
      <c r="I39" s="380" t="s">
        <v>115</v>
      </c>
      <c r="J39" s="380" t="s">
        <v>115</v>
      </c>
      <c r="K39" s="380">
        <f>'Invul- en verrekenblad'!C18</f>
        <v>0</v>
      </c>
      <c r="L39" s="394" t="s">
        <v>217</v>
      </c>
      <c r="M39" s="471">
        <f>Gegevensblad!M39</f>
        <v>12.478945080546016</v>
      </c>
      <c r="N39" s="388">
        <f t="shared" si="1"/>
        <v>0</v>
      </c>
      <c r="O39" s="377"/>
    </row>
    <row r="40" spans="1:15" ht="45" x14ac:dyDescent="0.25">
      <c r="A40" s="447" t="s">
        <v>145</v>
      </c>
      <c r="B40" s="354" t="s">
        <v>146</v>
      </c>
      <c r="C40" s="354" t="s">
        <v>258</v>
      </c>
      <c r="D40" s="380" t="s">
        <v>203</v>
      </c>
      <c r="E40" s="434" t="s">
        <v>203</v>
      </c>
      <c r="F40" s="434" t="s">
        <v>203</v>
      </c>
      <c r="G40" s="434" t="s">
        <v>203</v>
      </c>
      <c r="H40" s="434" t="s">
        <v>203</v>
      </c>
      <c r="I40" s="434" t="s">
        <v>203</v>
      </c>
      <c r="J40" s="434" t="s">
        <v>203</v>
      </c>
      <c r="K40" s="394" t="b">
        <f>IF('Invul- en verrekenblad'!B18=1,IF(Variabelen!H20="ja",'Invul- en verrekenblad'!F18,0))</f>
        <v>0</v>
      </c>
      <c r="L40" s="394" t="s">
        <v>259</v>
      </c>
      <c r="M40" s="471">
        <f>Gegevensblad!M40</f>
        <v>1.1231050572491412</v>
      </c>
      <c r="N40" s="388">
        <f t="shared" si="1"/>
        <v>0</v>
      </c>
      <c r="O40" s="377"/>
    </row>
    <row r="41" spans="1:15" ht="45" x14ac:dyDescent="0.25">
      <c r="A41" s="447" t="s">
        <v>147</v>
      </c>
      <c r="B41" s="354" t="s">
        <v>260</v>
      </c>
      <c r="C41" s="354" t="s">
        <v>261</v>
      </c>
      <c r="D41" s="380" t="s">
        <v>194</v>
      </c>
      <c r="E41" s="434" t="s">
        <v>203</v>
      </c>
      <c r="F41" s="434" t="s">
        <v>203</v>
      </c>
      <c r="G41" s="434" t="s">
        <v>203</v>
      </c>
      <c r="H41" s="434" t="s">
        <v>203</v>
      </c>
      <c r="I41" s="434" t="s">
        <v>203</v>
      </c>
      <c r="J41" s="434" t="s">
        <v>203</v>
      </c>
      <c r="K41" s="380" t="b">
        <f>IF('Invul- en verrekenblad'!B18=1,IF(Variabelen!H21="ja",'Invul- en verrekenblad'!F18*('Invul- en verrekenblad'!C18/5),0))</f>
        <v>0</v>
      </c>
      <c r="L41" s="380" t="s">
        <v>262</v>
      </c>
      <c r="M41" s="464">
        <f>Gegevensblad!M41</f>
        <v>7.045474864806919</v>
      </c>
      <c r="N41" s="388">
        <f t="shared" si="1"/>
        <v>0</v>
      </c>
      <c r="O41" s="377"/>
    </row>
    <row r="42" spans="1:15" ht="56.25" x14ac:dyDescent="0.25">
      <c r="A42" s="447" t="s">
        <v>149</v>
      </c>
      <c r="B42" s="354" t="s">
        <v>263</v>
      </c>
      <c r="C42" s="354" t="s">
        <v>264</v>
      </c>
      <c r="D42" s="380" t="s">
        <v>203</v>
      </c>
      <c r="E42" s="434" t="s">
        <v>203</v>
      </c>
      <c r="F42" s="434" t="s">
        <v>203</v>
      </c>
      <c r="G42" s="434" t="s">
        <v>203</v>
      </c>
      <c r="H42" s="434" t="s">
        <v>203</v>
      </c>
      <c r="I42" s="434" t="s">
        <v>203</v>
      </c>
      <c r="J42" s="434" t="s">
        <v>203</v>
      </c>
      <c r="K42" s="395" t="b">
        <f>IF('Invul- en verrekenblad'!B18=1,IF(Variabelen!H22="ja",'Invul- en verrekenblad'!F18/3.5*('Invul- en verrekenblad'!C18/5),0))</f>
        <v>0</v>
      </c>
      <c r="L42" s="380" t="s">
        <v>265</v>
      </c>
      <c r="M42" s="464">
        <f>Gegevensblad!M42</f>
        <v>8.4545698377683021</v>
      </c>
      <c r="N42" s="388">
        <f t="shared" si="1"/>
        <v>0</v>
      </c>
      <c r="O42" s="377"/>
    </row>
    <row r="43" spans="1:15" ht="23.25" thickBot="1" x14ac:dyDescent="0.3">
      <c r="A43" s="447" t="s">
        <v>151</v>
      </c>
      <c r="B43" s="354" t="s">
        <v>266</v>
      </c>
      <c r="C43" s="354" t="s">
        <v>267</v>
      </c>
      <c r="D43" s="380" t="s">
        <v>203</v>
      </c>
      <c r="E43" s="434" t="s">
        <v>203</v>
      </c>
      <c r="F43" s="434" t="s">
        <v>203</v>
      </c>
      <c r="G43" s="434" t="s">
        <v>203</v>
      </c>
      <c r="H43" s="434" t="s">
        <v>203</v>
      </c>
      <c r="I43" s="434" t="s">
        <v>203</v>
      </c>
      <c r="J43" s="434" t="s">
        <v>203</v>
      </c>
      <c r="K43" s="380" t="b">
        <f>IF('Invul- en verrekenblad'!B18=1,IF(OR(Variabelen!H21="ja",Variabelen!H22="ja"),Variabelen!H23,0))</f>
        <v>0</v>
      </c>
      <c r="L43" s="380" t="s">
        <v>268</v>
      </c>
      <c r="M43" s="412">
        <f>Gegevensblad!M43</f>
        <v>450.91039134764281</v>
      </c>
      <c r="N43" s="388">
        <f t="shared" si="1"/>
        <v>0</v>
      </c>
      <c r="O43" s="377"/>
    </row>
    <row r="44" spans="1:15" ht="47.25" thickBot="1" x14ac:dyDescent="0.25">
      <c r="A44" s="427">
        <v>6</v>
      </c>
      <c r="B44" s="330" t="s">
        <v>155</v>
      </c>
      <c r="C44" s="327"/>
      <c r="D44" s="428" t="s">
        <v>313</v>
      </c>
      <c r="E44" s="429" t="s">
        <v>117</v>
      </c>
      <c r="F44" s="429" t="s">
        <v>118</v>
      </c>
      <c r="G44" s="430" t="s">
        <v>119</v>
      </c>
      <c r="H44" s="430" t="s">
        <v>120</v>
      </c>
      <c r="I44" s="431" t="s">
        <v>121</v>
      </c>
      <c r="J44" s="431" t="s">
        <v>122</v>
      </c>
      <c r="K44" s="372"/>
      <c r="L44" s="372" t="s">
        <v>188</v>
      </c>
      <c r="M44" s="410" t="str">
        <f>Gegevensblad!M45</f>
        <v>Prijs per eenheid (€)</v>
      </c>
      <c r="N44" s="385"/>
      <c r="O44" s="386"/>
    </row>
    <row r="45" spans="1:15" ht="22.5" x14ac:dyDescent="0.25">
      <c r="A45" s="440" t="s">
        <v>270</v>
      </c>
      <c r="B45" s="353" t="s">
        <v>271</v>
      </c>
      <c r="C45" s="353" t="s">
        <v>272</v>
      </c>
      <c r="D45" s="375" t="s">
        <v>194</v>
      </c>
      <c r="E45" s="375" t="s">
        <v>115</v>
      </c>
      <c r="F45" s="375" t="s">
        <v>115</v>
      </c>
      <c r="G45" s="375" t="s">
        <v>194</v>
      </c>
      <c r="H45" s="375" t="s">
        <v>194</v>
      </c>
      <c r="I45" s="375" t="s">
        <v>194</v>
      </c>
      <c r="J45" s="375" t="s">
        <v>194</v>
      </c>
      <c r="K45" s="375"/>
      <c r="L45" s="375" t="s">
        <v>217</v>
      </c>
      <c r="M45" s="403">
        <f>Gegevensblad!M46</f>
        <v>0</v>
      </c>
      <c r="N45" s="387">
        <f t="shared" ref="N45:N50" si="2">K45*M45</f>
        <v>0</v>
      </c>
      <c r="O45" s="377"/>
    </row>
    <row r="46" spans="1:15" ht="45" x14ac:dyDescent="0.25">
      <c r="A46" s="447" t="s">
        <v>156</v>
      </c>
      <c r="B46" s="354" t="s">
        <v>157</v>
      </c>
      <c r="C46" s="354" t="s">
        <v>317</v>
      </c>
      <c r="D46" s="380" t="s">
        <v>194</v>
      </c>
      <c r="E46" s="434" t="s">
        <v>203</v>
      </c>
      <c r="F46" s="434" t="s">
        <v>203</v>
      </c>
      <c r="G46" s="380" t="s">
        <v>203</v>
      </c>
      <c r="H46" s="380" t="s">
        <v>115</v>
      </c>
      <c r="I46" s="380" t="s">
        <v>115</v>
      </c>
      <c r="J46" s="380" t="s">
        <v>115</v>
      </c>
      <c r="K46" s="380">
        <f>'Invul- en verrekenblad'!C18*'Invul- en verrekenblad'!E18</f>
        <v>0</v>
      </c>
      <c r="L46" s="380" t="s">
        <v>217</v>
      </c>
      <c r="M46" s="464">
        <f>Gegevensblad!M47</f>
        <v>129.6367375124473</v>
      </c>
      <c r="N46" s="388">
        <f t="shared" si="2"/>
        <v>0</v>
      </c>
      <c r="O46" s="377"/>
    </row>
    <row r="47" spans="1:15" ht="33.75" x14ac:dyDescent="0.25">
      <c r="A47" s="447" t="s">
        <v>158</v>
      </c>
      <c r="B47" s="354" t="s">
        <v>159</v>
      </c>
      <c r="C47" s="354" t="s">
        <v>331</v>
      </c>
      <c r="D47" s="380" t="s">
        <v>194</v>
      </c>
      <c r="E47" s="380" t="s">
        <v>194</v>
      </c>
      <c r="F47" s="380" t="s">
        <v>194</v>
      </c>
      <c r="G47" s="380" t="s">
        <v>194</v>
      </c>
      <c r="H47" s="434" t="s">
        <v>203</v>
      </c>
      <c r="I47" s="380" t="s">
        <v>194</v>
      </c>
      <c r="J47" s="434" t="s">
        <v>203</v>
      </c>
      <c r="K47" s="380" t="b">
        <f>IF('Invul- en verrekenblad'!B18=1,IF(Variabelen!H27="ja",1,0))</f>
        <v>0</v>
      </c>
      <c r="L47" s="390" t="s">
        <v>235</v>
      </c>
      <c r="M47" s="390">
        <f>Variabelen!$L$27</f>
        <v>0</v>
      </c>
      <c r="N47" s="388">
        <f t="shared" si="2"/>
        <v>0</v>
      </c>
      <c r="O47" s="377"/>
    </row>
    <row r="48" spans="1:15" ht="22.5" x14ac:dyDescent="0.25">
      <c r="A48" s="447" t="s">
        <v>160</v>
      </c>
      <c r="B48" s="354" t="s">
        <v>275</v>
      </c>
      <c r="C48" s="354" t="s">
        <v>276</v>
      </c>
      <c r="D48" s="380" t="s">
        <v>194</v>
      </c>
      <c r="E48" s="434" t="s">
        <v>203</v>
      </c>
      <c r="F48" s="434" t="s">
        <v>203</v>
      </c>
      <c r="G48" s="434" t="s">
        <v>203</v>
      </c>
      <c r="H48" s="434" t="s">
        <v>203</v>
      </c>
      <c r="I48" s="434" t="s">
        <v>203</v>
      </c>
      <c r="J48" s="434" t="s">
        <v>203</v>
      </c>
      <c r="K48" s="380" t="b">
        <f>IF('Invul- en verrekenblad'!B18=1,IF(Variabelen!H28="ja",Variabelen!L28,0))</f>
        <v>0</v>
      </c>
      <c r="L48" s="380" t="s">
        <v>162</v>
      </c>
      <c r="M48" s="464">
        <f>Gegevensblad!M49</f>
        <v>5.0727419026609821</v>
      </c>
      <c r="N48" s="388">
        <f t="shared" si="2"/>
        <v>0</v>
      </c>
      <c r="O48" s="377"/>
    </row>
    <row r="49" spans="1:15" ht="22.5" x14ac:dyDescent="0.25">
      <c r="A49" s="447" t="s">
        <v>163</v>
      </c>
      <c r="B49" s="354" t="s">
        <v>164</v>
      </c>
      <c r="C49" s="354" t="s">
        <v>277</v>
      </c>
      <c r="D49" s="380" t="s">
        <v>194</v>
      </c>
      <c r="E49" s="434" t="s">
        <v>203</v>
      </c>
      <c r="F49" s="434" t="s">
        <v>203</v>
      </c>
      <c r="G49" s="434" t="s">
        <v>203</v>
      </c>
      <c r="H49" s="434" t="s">
        <v>203</v>
      </c>
      <c r="I49" s="434" t="s">
        <v>203</v>
      </c>
      <c r="J49" s="434" t="s">
        <v>203</v>
      </c>
      <c r="K49" s="380" t="b">
        <f>IF('Invul- en verrekenblad'!B18=1,IF(Variabelen!H29="ja",1,0))</f>
        <v>0</v>
      </c>
      <c r="L49" s="393" t="s">
        <v>235</v>
      </c>
      <c r="M49" s="390">
        <f>Variabelen!$L$29</f>
        <v>0</v>
      </c>
      <c r="N49" s="388">
        <f t="shared" si="2"/>
        <v>0</v>
      </c>
      <c r="O49" s="377"/>
    </row>
    <row r="50" spans="1:15" ht="12" thickBot="1" x14ac:dyDescent="0.3">
      <c r="A50" s="355" t="s">
        <v>278</v>
      </c>
      <c r="B50" s="356" t="s">
        <v>279</v>
      </c>
      <c r="C50" s="356" t="s">
        <v>280</v>
      </c>
      <c r="D50" s="357" t="s">
        <v>194</v>
      </c>
      <c r="E50" s="357" t="s">
        <v>115</v>
      </c>
      <c r="F50" s="357" t="s">
        <v>115</v>
      </c>
      <c r="G50" s="357" t="s">
        <v>115</v>
      </c>
      <c r="H50" s="357" t="s">
        <v>115</v>
      </c>
      <c r="I50" s="357" t="s">
        <v>115</v>
      </c>
      <c r="J50" s="357" t="s">
        <v>115</v>
      </c>
      <c r="K50" s="357">
        <f>'Invul- en verrekenblad'!E18</f>
        <v>0</v>
      </c>
      <c r="L50" s="357" t="s">
        <v>281</v>
      </c>
      <c r="M50" s="465">
        <f>Gegevensblad!M51</f>
        <v>38.9967033767063</v>
      </c>
      <c r="N50" s="391">
        <f t="shared" si="2"/>
        <v>0</v>
      </c>
      <c r="O50" s="377"/>
    </row>
    <row r="51" spans="1:15" ht="47.25" thickBot="1" x14ac:dyDescent="0.25">
      <c r="A51" s="427">
        <v>7</v>
      </c>
      <c r="B51" s="330" t="s">
        <v>165</v>
      </c>
      <c r="C51" s="327"/>
      <c r="D51" s="428" t="s">
        <v>313</v>
      </c>
      <c r="E51" s="429" t="s">
        <v>117</v>
      </c>
      <c r="F51" s="429" t="s">
        <v>118</v>
      </c>
      <c r="G51" s="430" t="s">
        <v>119</v>
      </c>
      <c r="H51" s="430" t="s">
        <v>120</v>
      </c>
      <c r="I51" s="431" t="s">
        <v>121</v>
      </c>
      <c r="J51" s="431" t="s">
        <v>122</v>
      </c>
      <c r="K51" s="372"/>
      <c r="L51" s="372" t="s">
        <v>188</v>
      </c>
      <c r="M51" s="410" t="str">
        <f>Gegevensblad!M52</f>
        <v>Prijs per eenheid (€)</v>
      </c>
      <c r="N51" s="385"/>
      <c r="O51" s="386"/>
    </row>
    <row r="52" spans="1:15" ht="78.75" x14ac:dyDescent="0.25">
      <c r="A52" s="440" t="s">
        <v>282</v>
      </c>
      <c r="B52" s="353" t="s">
        <v>283</v>
      </c>
      <c r="C52" s="353" t="s">
        <v>284</v>
      </c>
      <c r="D52" s="375" t="s">
        <v>194</v>
      </c>
      <c r="E52" s="375" t="s">
        <v>115</v>
      </c>
      <c r="F52" s="375" t="s">
        <v>115</v>
      </c>
      <c r="G52" s="375" t="s">
        <v>115</v>
      </c>
      <c r="H52" s="375" t="s">
        <v>115</v>
      </c>
      <c r="I52" s="375" t="s">
        <v>115</v>
      </c>
      <c r="J52" s="375" t="s">
        <v>115</v>
      </c>
      <c r="K52" s="375">
        <f>'Invul- en verrekenblad'!C18*'Invul- en verrekenblad'!D18</f>
        <v>0</v>
      </c>
      <c r="L52" s="375" t="s">
        <v>217</v>
      </c>
      <c r="M52" s="466">
        <f>Gegevensblad!M53</f>
        <v>15.218225707982945</v>
      </c>
      <c r="N52" s="387">
        <f>K52*M52</f>
        <v>0</v>
      </c>
      <c r="O52" s="377"/>
    </row>
    <row r="53" spans="1:15" ht="56.25" x14ac:dyDescent="0.25">
      <c r="A53" s="447" t="s">
        <v>166</v>
      </c>
      <c r="B53" s="354" t="s">
        <v>167</v>
      </c>
      <c r="C53" s="354" t="s">
        <v>319</v>
      </c>
      <c r="D53" s="380" t="s">
        <v>194</v>
      </c>
      <c r="E53" s="434" t="s">
        <v>203</v>
      </c>
      <c r="F53" s="380" t="s">
        <v>115</v>
      </c>
      <c r="G53" s="434" t="s">
        <v>203</v>
      </c>
      <c r="H53" s="380" t="s">
        <v>115</v>
      </c>
      <c r="I53" s="434" t="s">
        <v>203</v>
      </c>
      <c r="J53" s="380" t="s">
        <v>115</v>
      </c>
      <c r="K53" s="380">
        <f>'Invul- en verrekenblad'!C18*'Invul- en verrekenblad'!D18</f>
        <v>0</v>
      </c>
      <c r="L53" s="380" t="s">
        <v>217</v>
      </c>
      <c r="M53" s="464">
        <f>Gegevensblad!M54</f>
        <v>18.036415653905713</v>
      </c>
      <c r="N53" s="388">
        <f>K53*M53</f>
        <v>0</v>
      </c>
      <c r="O53" s="377"/>
    </row>
    <row r="54" spans="1:15" ht="45" x14ac:dyDescent="0.25">
      <c r="A54" s="447" t="s">
        <v>168</v>
      </c>
      <c r="B54" s="354" t="s">
        <v>169</v>
      </c>
      <c r="C54" s="354" t="s">
        <v>320</v>
      </c>
      <c r="D54" s="380" t="s">
        <v>194</v>
      </c>
      <c r="E54" s="434" t="s">
        <v>203</v>
      </c>
      <c r="F54" s="434" t="s">
        <v>203</v>
      </c>
      <c r="G54" s="434" t="s">
        <v>203</v>
      </c>
      <c r="H54" s="434" t="s">
        <v>203</v>
      </c>
      <c r="I54" s="434" t="s">
        <v>203</v>
      </c>
      <c r="J54" s="434" t="s">
        <v>203</v>
      </c>
      <c r="K54" s="380" t="b">
        <f>IF('Invul- en verrekenblad'!B18=1,IF(Variabelen!H32="ja",1,0))</f>
        <v>0</v>
      </c>
      <c r="L54" s="393" t="s">
        <v>235</v>
      </c>
      <c r="M54" s="418">
        <f>Variabelen!$L$32</f>
        <v>0</v>
      </c>
      <c r="N54" s="388">
        <f>K54*M54</f>
        <v>0</v>
      </c>
      <c r="O54" s="377"/>
    </row>
    <row r="55" spans="1:15" ht="23.25" thickBot="1" x14ac:dyDescent="0.3">
      <c r="A55" s="444" t="s">
        <v>170</v>
      </c>
      <c r="B55" s="356" t="s">
        <v>171</v>
      </c>
      <c r="C55" s="356" t="s">
        <v>287</v>
      </c>
      <c r="D55" s="357" t="s">
        <v>194</v>
      </c>
      <c r="E55" s="357" t="s">
        <v>194</v>
      </c>
      <c r="F55" s="357" t="s">
        <v>194</v>
      </c>
      <c r="G55" s="357" t="s">
        <v>194</v>
      </c>
      <c r="H55" s="357" t="s">
        <v>194</v>
      </c>
      <c r="I55" s="357" t="s">
        <v>194</v>
      </c>
      <c r="J55" s="445" t="s">
        <v>203</v>
      </c>
      <c r="K55" s="405"/>
      <c r="L55" s="390" t="s">
        <v>235</v>
      </c>
      <c r="M55" s="418">
        <f>Gegevensblad!M56</f>
        <v>0</v>
      </c>
      <c r="N55" s="455">
        <f>K55*M55</f>
        <v>0</v>
      </c>
      <c r="O55" s="377"/>
    </row>
    <row r="56" spans="1:15" ht="47.25" thickBot="1" x14ac:dyDescent="0.3">
      <c r="A56" s="427">
        <v>8</v>
      </c>
      <c r="B56" s="330" t="s">
        <v>288</v>
      </c>
      <c r="C56" s="330"/>
      <c r="D56" s="428" t="s">
        <v>313</v>
      </c>
      <c r="E56" s="429" t="s">
        <v>117</v>
      </c>
      <c r="F56" s="429" t="s">
        <v>118</v>
      </c>
      <c r="G56" s="430" t="s">
        <v>119</v>
      </c>
      <c r="H56" s="430" t="s">
        <v>120</v>
      </c>
      <c r="I56" s="431" t="s">
        <v>121</v>
      </c>
      <c r="J56" s="431" t="s">
        <v>122</v>
      </c>
      <c r="K56" s="372"/>
      <c r="L56" s="372" t="s">
        <v>188</v>
      </c>
      <c r="M56" s="410" t="str">
        <f>Gegevensblad!M57</f>
        <v>Prijs per eenheid (€)</v>
      </c>
      <c r="N56" s="385"/>
      <c r="O56" s="386"/>
    </row>
    <row r="57" spans="1:15" ht="56.25" x14ac:dyDescent="0.25">
      <c r="A57" s="440" t="s">
        <v>289</v>
      </c>
      <c r="B57" s="353" t="s">
        <v>290</v>
      </c>
      <c r="C57" s="353" t="s">
        <v>321</v>
      </c>
      <c r="D57" s="375" t="s">
        <v>115</v>
      </c>
      <c r="E57" s="375" t="s">
        <v>194</v>
      </c>
      <c r="F57" s="375" t="s">
        <v>194</v>
      </c>
      <c r="G57" s="375" t="s">
        <v>194</v>
      </c>
      <c r="H57" s="375" t="s">
        <v>194</v>
      </c>
      <c r="I57" s="375" t="s">
        <v>194</v>
      </c>
      <c r="J57" s="375" t="s">
        <v>194</v>
      </c>
      <c r="K57" s="403">
        <f>'Invul- en verrekenblad'!B18</f>
        <v>0</v>
      </c>
      <c r="L57" s="375" t="s">
        <v>292</v>
      </c>
      <c r="M57" s="466">
        <f>Gegevensblad!M58</f>
        <v>111.44175191793592</v>
      </c>
      <c r="N57" s="456">
        <f t="shared" ref="N57:N63" si="3">K57*M57</f>
        <v>0</v>
      </c>
      <c r="O57" s="377"/>
    </row>
    <row r="58" spans="1:15" ht="22.5" x14ac:dyDescent="0.25">
      <c r="A58" s="442" t="s">
        <v>293</v>
      </c>
      <c r="B58" s="354" t="s">
        <v>294</v>
      </c>
      <c r="C58" s="354" t="s">
        <v>295</v>
      </c>
      <c r="D58" s="434" t="s">
        <v>115</v>
      </c>
      <c r="E58" s="434" t="s">
        <v>115</v>
      </c>
      <c r="F58" s="434" t="s">
        <v>115</v>
      </c>
      <c r="G58" s="434" t="s">
        <v>115</v>
      </c>
      <c r="H58" s="434" t="s">
        <v>115</v>
      </c>
      <c r="I58" s="434" t="s">
        <v>115</v>
      </c>
      <c r="J58" s="434" t="s">
        <v>115</v>
      </c>
      <c r="K58" s="380" t="b">
        <f>IF(('Invul- en verrekenblad'!B19+'Invul- en verrekenblad'!B20)&gt;0,0,IF('Invul- en verrekenblad'!B6="ja",IF('Invul- en verrekenblad'!B18=1,1,0)))</f>
        <v>0</v>
      </c>
      <c r="L58" s="380" t="s">
        <v>292</v>
      </c>
      <c r="M58" s="464">
        <f>Gegevensblad!M59</f>
        <v>696.51094948709942</v>
      </c>
      <c r="N58" s="388">
        <f>IF('Invul- en verrekenblad'!B14=1,0,K58*M58)</f>
        <v>0</v>
      </c>
      <c r="O58" s="377"/>
    </row>
    <row r="59" spans="1:15" ht="45" x14ac:dyDescent="0.25">
      <c r="A59" s="447" t="s">
        <v>173</v>
      </c>
      <c r="B59" s="354" t="s">
        <v>174</v>
      </c>
      <c r="C59" s="354" t="s">
        <v>296</v>
      </c>
      <c r="D59" s="434" t="s">
        <v>203</v>
      </c>
      <c r="E59" s="434" t="s">
        <v>203</v>
      </c>
      <c r="F59" s="434" t="s">
        <v>203</v>
      </c>
      <c r="G59" s="434" t="s">
        <v>203</v>
      </c>
      <c r="H59" s="434" t="s">
        <v>203</v>
      </c>
      <c r="I59" s="434" t="s">
        <v>203</v>
      </c>
      <c r="J59" s="434" t="s">
        <v>203</v>
      </c>
      <c r="K59" s="380" t="b">
        <f>IF('Invul- en verrekenblad'!B18=1,IF('Invul- en verrekenblad'!B6="ja",IF(Variabelen!H35="ja",1,0)))</f>
        <v>0</v>
      </c>
      <c r="L59" s="393" t="s">
        <v>235</v>
      </c>
      <c r="M59" s="390">
        <f>Variabelen!$L$35</f>
        <v>0</v>
      </c>
      <c r="N59" s="388">
        <f t="shared" si="3"/>
        <v>0</v>
      </c>
      <c r="O59" s="377"/>
    </row>
    <row r="60" spans="1:15" ht="45" x14ac:dyDescent="0.25">
      <c r="A60" s="447" t="s">
        <v>175</v>
      </c>
      <c r="B60" s="354" t="s">
        <v>176</v>
      </c>
      <c r="C60" s="354" t="s">
        <v>296</v>
      </c>
      <c r="D60" s="434" t="s">
        <v>203</v>
      </c>
      <c r="E60" s="434" t="s">
        <v>203</v>
      </c>
      <c r="F60" s="434" t="s">
        <v>203</v>
      </c>
      <c r="G60" s="434" t="s">
        <v>203</v>
      </c>
      <c r="H60" s="434" t="s">
        <v>203</v>
      </c>
      <c r="I60" s="434" t="s">
        <v>203</v>
      </c>
      <c r="J60" s="434" t="s">
        <v>203</v>
      </c>
      <c r="K60" s="380" t="b">
        <f>IF('Invul- en verrekenblad'!B18=1,IF('Invul- en verrekenblad'!B6="ja",IF(Variabelen!H36="ja",1,0)))</f>
        <v>0</v>
      </c>
      <c r="L60" s="393" t="s">
        <v>235</v>
      </c>
      <c r="M60" s="390">
        <f>Variabelen!$L$36</f>
        <v>0</v>
      </c>
      <c r="N60" s="388">
        <f t="shared" si="3"/>
        <v>0</v>
      </c>
      <c r="O60" s="377"/>
    </row>
    <row r="61" spans="1:15" ht="33.75" x14ac:dyDescent="0.25">
      <c r="A61" s="447" t="s">
        <v>177</v>
      </c>
      <c r="B61" s="354" t="s">
        <v>297</v>
      </c>
      <c r="C61" s="354" t="s">
        <v>298</v>
      </c>
      <c r="D61" s="434" t="s">
        <v>203</v>
      </c>
      <c r="E61" s="434" t="s">
        <v>203</v>
      </c>
      <c r="F61" s="434" t="s">
        <v>203</v>
      </c>
      <c r="G61" s="434" t="s">
        <v>203</v>
      </c>
      <c r="H61" s="434" t="s">
        <v>203</v>
      </c>
      <c r="I61" s="434" t="s">
        <v>203</v>
      </c>
      <c r="J61" s="434" t="s">
        <v>203</v>
      </c>
      <c r="K61" s="380" t="b">
        <f>IF('Invul- en verrekenblad'!B18=1,IF('Invul- en verrekenblad'!B6="ja",IF(Variabelen!H37="ja",1,0)))</f>
        <v>0</v>
      </c>
      <c r="L61" s="380" t="s">
        <v>292</v>
      </c>
      <c r="M61" s="464">
        <f>Gegevensblad!M62</f>
        <v>55.720875958967959</v>
      </c>
      <c r="N61" s="388">
        <f t="shared" si="3"/>
        <v>0</v>
      </c>
      <c r="O61" s="377"/>
    </row>
    <row r="62" spans="1:15" ht="33.75" x14ac:dyDescent="0.25">
      <c r="A62" s="447" t="s">
        <v>179</v>
      </c>
      <c r="B62" s="354" t="s">
        <v>299</v>
      </c>
      <c r="C62" s="354" t="s">
        <v>300</v>
      </c>
      <c r="D62" s="434" t="s">
        <v>203</v>
      </c>
      <c r="E62" s="434" t="s">
        <v>203</v>
      </c>
      <c r="F62" s="434" t="s">
        <v>203</v>
      </c>
      <c r="G62" s="434" t="s">
        <v>203</v>
      </c>
      <c r="H62" s="434" t="s">
        <v>203</v>
      </c>
      <c r="I62" s="434" t="s">
        <v>203</v>
      </c>
      <c r="J62" s="434" t="s">
        <v>203</v>
      </c>
      <c r="K62" s="380" t="b">
        <f>IF('Invul- en verrekenblad'!B18=1,IF('Invul- en verrekenblad'!B6="ja",IF(Variabelen!H38="ja",1,0)))</f>
        <v>0</v>
      </c>
      <c r="L62" s="380" t="s">
        <v>292</v>
      </c>
      <c r="M62" s="464">
        <f>Gegevensblad!M63</f>
        <v>111.44175191793592</v>
      </c>
      <c r="N62" s="388">
        <f t="shared" si="3"/>
        <v>0</v>
      </c>
      <c r="O62" s="377"/>
    </row>
    <row r="63" spans="1:15" ht="23.25" thickBot="1" x14ac:dyDescent="0.3">
      <c r="A63" s="444" t="s">
        <v>181</v>
      </c>
      <c r="B63" s="356" t="s">
        <v>301</v>
      </c>
      <c r="C63" s="356" t="s">
        <v>302</v>
      </c>
      <c r="D63" s="445" t="s">
        <v>203</v>
      </c>
      <c r="E63" s="357" t="s">
        <v>194</v>
      </c>
      <c r="F63" s="357" t="s">
        <v>194</v>
      </c>
      <c r="G63" s="357" t="s">
        <v>194</v>
      </c>
      <c r="H63" s="357" t="s">
        <v>194</v>
      </c>
      <c r="I63" s="357" t="s">
        <v>194</v>
      </c>
      <c r="J63" s="357" t="s">
        <v>194</v>
      </c>
      <c r="K63" s="405"/>
      <c r="L63" s="357" t="s">
        <v>217</v>
      </c>
      <c r="M63" s="465">
        <f>Gegevensblad!M64</f>
        <v>428.10847288998912</v>
      </c>
      <c r="N63" s="455">
        <f t="shared" si="3"/>
        <v>0</v>
      </c>
      <c r="O63" s="377"/>
    </row>
    <row r="64" spans="1:15" ht="47.25" thickBot="1" x14ac:dyDescent="0.25">
      <c r="A64" s="427">
        <v>9</v>
      </c>
      <c r="B64" s="330" t="s">
        <v>304</v>
      </c>
      <c r="C64" s="327"/>
      <c r="D64" s="428" t="s">
        <v>313</v>
      </c>
      <c r="E64" s="429" t="s">
        <v>117</v>
      </c>
      <c r="F64" s="429" t="s">
        <v>118</v>
      </c>
      <c r="G64" s="430" t="s">
        <v>119</v>
      </c>
      <c r="H64" s="430" t="s">
        <v>120</v>
      </c>
      <c r="I64" s="431" t="s">
        <v>121</v>
      </c>
      <c r="J64" s="431" t="s">
        <v>122</v>
      </c>
      <c r="K64" s="372"/>
      <c r="L64" s="372" t="s">
        <v>188</v>
      </c>
      <c r="M64" s="410" t="str">
        <f>Gegevensblad!M65</f>
        <v>Prijs per eenheid (€)</v>
      </c>
      <c r="N64" s="385"/>
      <c r="O64" s="386"/>
    </row>
    <row r="65" spans="1:15" ht="45" x14ac:dyDescent="0.25">
      <c r="A65" s="440" t="s">
        <v>305</v>
      </c>
      <c r="B65" s="353" t="s">
        <v>306</v>
      </c>
      <c r="C65" s="353" t="s">
        <v>307</v>
      </c>
      <c r="D65" s="375" t="s">
        <v>194</v>
      </c>
      <c r="E65" s="375" t="s">
        <v>194</v>
      </c>
      <c r="F65" s="375" t="s">
        <v>194</v>
      </c>
      <c r="G65" s="375" t="s">
        <v>115</v>
      </c>
      <c r="H65" s="375" t="s">
        <v>115</v>
      </c>
      <c r="I65" s="375" t="s">
        <v>115</v>
      </c>
      <c r="J65" s="375" t="s">
        <v>115</v>
      </c>
      <c r="K65" s="380">
        <f>('Invul- en verrekenblad'!D18+'Invul- en verrekenblad'!E18)*'Invul- en verrekenblad'!C18</f>
        <v>0</v>
      </c>
      <c r="L65" s="463" t="s">
        <v>308</v>
      </c>
      <c r="M65" s="466">
        <f>Gegevensblad!M66</f>
        <v>50.727419026609816</v>
      </c>
      <c r="N65" s="387">
        <f>K65*M65</f>
        <v>0</v>
      </c>
      <c r="O65" s="377"/>
    </row>
    <row r="66" spans="1:15" ht="45.75" thickBot="1" x14ac:dyDescent="0.3">
      <c r="A66" s="469" t="s">
        <v>309</v>
      </c>
      <c r="B66" s="470" t="s">
        <v>310</v>
      </c>
      <c r="C66" s="470" t="s">
        <v>311</v>
      </c>
      <c r="D66" s="450" t="s">
        <v>194</v>
      </c>
      <c r="E66" s="450" t="s">
        <v>115</v>
      </c>
      <c r="F66" s="450" t="s">
        <v>115</v>
      </c>
      <c r="G66" s="450" t="s">
        <v>115</v>
      </c>
      <c r="H66" s="450" t="s">
        <v>115</v>
      </c>
      <c r="I66" s="450" t="s">
        <v>115</v>
      </c>
      <c r="J66" s="450" t="s">
        <v>115</v>
      </c>
      <c r="K66" s="450">
        <f>'Invul- en verrekenblad'!C18*('Invul- en verrekenblad'!D18+'Invul- en verrekenblad'!E18)</f>
        <v>0</v>
      </c>
      <c r="L66" s="451" t="s">
        <v>308</v>
      </c>
      <c r="M66" s="467">
        <f>Gegevensblad!M67</f>
        <v>108.36954890453575</v>
      </c>
      <c r="N66" s="398">
        <f>K66*M66</f>
        <v>0</v>
      </c>
    </row>
    <row r="67" spans="1:15" ht="15.75" x14ac:dyDescent="0.25">
      <c r="D67" s="454" t="s">
        <v>115</v>
      </c>
      <c r="E67" s="454" t="s">
        <v>115</v>
      </c>
      <c r="F67" s="454" t="s">
        <v>115</v>
      </c>
      <c r="G67" s="454" t="s">
        <v>115</v>
      </c>
      <c r="H67" s="454" t="s">
        <v>115</v>
      </c>
      <c r="I67" s="454" t="s">
        <v>115</v>
      </c>
      <c r="J67" s="454" t="s">
        <v>115</v>
      </c>
      <c r="N67" s="402">
        <f>SUBTOTAL(9,N10:N66)</f>
        <v>0</v>
      </c>
    </row>
    <row r="70" spans="1:15" ht="10.15" customHeight="1" x14ac:dyDescent="0.25"/>
  </sheetData>
  <sheetProtection algorithmName="SHA-512" hashValue="JN2uUnISBN7G1nQhz2p2FupAbpuZ9UflurzBGzm9vo3byYeMCgH7BtpEDKIMTppFjfS/LZJawyUtAF8vCXhVFw==" saltValue="Rfc3daO4hzm+fNic08OaZg==" spinCount="100000" sheet="1" selectLockedCells="1"/>
  <autoFilter ref="A8:N8" xr:uid="{00000000-0001-0000-0700-000000000000}">
    <filterColumn colId="3" showButton="0"/>
    <filterColumn colId="4" showButton="0"/>
    <filterColumn colId="5" showButton="0"/>
    <filterColumn colId="6" showButton="0"/>
    <filterColumn colId="7" showButton="0"/>
    <filterColumn colId="8" showButton="0"/>
    <filterColumn colId="11" showButton="0"/>
  </autoFilter>
  <mergeCells count="3">
    <mergeCell ref="D8:J8"/>
    <mergeCell ref="L8:M8"/>
    <mergeCell ref="B34:C34"/>
  </mergeCells>
  <conditionalFormatting sqref="D16:D18 E16:J66">
    <cfRule type="containsText" dxfId="50" priority="25" operator="containsText" text="nee">
      <formula>NOT(ISERROR(SEARCH("nee",D16)))</formula>
    </cfRule>
    <cfRule type="containsText" dxfId="49" priority="26" operator="containsText" text="optie">
      <formula>NOT(ISERROR(SEARCH("optie",D16)))</formula>
    </cfRule>
    <cfRule type="containsText" dxfId="48" priority="27" operator="containsText" text="ja">
      <formula>NOT(ISERROR(SEARCH("ja",D16)))</formula>
    </cfRule>
  </conditionalFormatting>
  <conditionalFormatting sqref="D20:D26 D28:D29 D31:D33 D52:D55 D57:D63 D65:D66">
    <cfRule type="containsText" dxfId="47" priority="28" operator="containsText" text="nee">
      <formula>NOT(ISERROR(SEARCH("nee",D20)))</formula>
    </cfRule>
    <cfRule type="containsText" dxfId="46" priority="29" operator="containsText" text="optie">
      <formula>NOT(ISERROR(SEARCH("optie",D20)))</formula>
    </cfRule>
    <cfRule type="containsText" dxfId="45" priority="30" operator="containsText" text="ja">
      <formula>NOT(ISERROR(SEARCH("ja",D20)))</formula>
    </cfRule>
  </conditionalFormatting>
  <conditionalFormatting sqref="D35:D43">
    <cfRule type="containsText" dxfId="44" priority="16" operator="containsText" text="nee">
      <formula>NOT(ISERROR(SEARCH("nee",D35)))</formula>
    </cfRule>
    <cfRule type="containsText" dxfId="43" priority="17" operator="containsText" text="optie">
      <formula>NOT(ISERROR(SEARCH("optie",D35)))</formula>
    </cfRule>
    <cfRule type="containsText" dxfId="42" priority="18" operator="containsText" text="ja">
      <formula>NOT(ISERROR(SEARCH("ja",D35)))</formula>
    </cfRule>
  </conditionalFormatting>
  <conditionalFormatting sqref="D45:D50">
    <cfRule type="containsText" dxfId="41" priority="10" operator="containsText" text="nee">
      <formula>NOT(ISERROR(SEARCH("nee",D45)))</formula>
    </cfRule>
    <cfRule type="containsText" dxfId="40" priority="11" operator="containsText" text="optie">
      <formula>NOT(ISERROR(SEARCH("optie",D45)))</formula>
    </cfRule>
    <cfRule type="containsText" dxfId="39" priority="12" operator="containsText" text="ja">
      <formula>NOT(ISERROR(SEARCH("ja",D45)))</formula>
    </cfRule>
  </conditionalFormatting>
  <conditionalFormatting sqref="D10:J15">
    <cfRule type="containsText" dxfId="38" priority="1" operator="containsText" text="nee">
      <formula>NOT(ISERROR(SEARCH("nee",D10)))</formula>
    </cfRule>
    <cfRule type="containsText" dxfId="37" priority="2" operator="containsText" text="optie">
      <formula>NOT(ISERROR(SEARCH("optie",D10)))</formula>
    </cfRule>
    <cfRule type="containsText" dxfId="36" priority="3" operator="containsText" text="ja">
      <formula>NOT(ISERROR(SEARCH("ja",D10)))</formula>
    </cfRule>
  </conditionalFormatting>
  <pageMargins left="0.25" right="0.25" top="0.75" bottom="0.75" header="0.3" footer="0.3"/>
  <pageSetup paperSize="8" fitToHeight="0"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0">
    <tabColor theme="1"/>
    <pageSetUpPr fitToPage="1"/>
  </sheetPr>
  <dimension ref="A1:O70"/>
  <sheetViews>
    <sheetView showGridLines="0" zoomScaleNormal="100" workbookViewId="0">
      <pane xSplit="2" ySplit="8" topLeftCell="C9" activePane="bottomRight" state="frozen"/>
      <selection pane="topRight" activeCell="U28" sqref="U28"/>
      <selection pane="bottomLeft" activeCell="U28" sqref="U28"/>
      <selection pane="bottomRight" activeCell="C28" sqref="C28"/>
    </sheetView>
  </sheetViews>
  <sheetFormatPr defaultColWidth="8.7109375" defaultRowHeight="11.25" outlineLevelCol="1" x14ac:dyDescent="0.25"/>
  <cols>
    <col min="1" max="1" width="12.7109375" style="378" customWidth="1"/>
    <col min="2" max="2" width="42" style="378" customWidth="1"/>
    <col min="3" max="3" width="45.5703125" style="378" customWidth="1"/>
    <col min="4" max="8" width="3.7109375" style="378" hidden="1" customWidth="1" outlineLevel="1"/>
    <col min="9" max="9" width="3.7109375" style="378" customWidth="1" outlineLevel="1"/>
    <col min="10" max="10" width="3.7109375" style="378" hidden="1" customWidth="1" outlineLevel="1"/>
    <col min="11" max="12" width="9.7109375" style="400" customWidth="1"/>
    <col min="13" max="13" width="10.42578125" style="411" customWidth="1"/>
    <col min="14" max="14" width="13.7109375" style="401" bestFit="1" customWidth="1"/>
    <col min="15" max="15" width="8.42578125" style="399" customWidth="1"/>
    <col min="16" max="16384" width="8.7109375" style="378"/>
  </cols>
  <sheetData>
    <row r="1" spans="1:15" s="365" customFormat="1" ht="24" customHeight="1" x14ac:dyDescent="0.35">
      <c r="A1" s="318" t="s">
        <v>66</v>
      </c>
      <c r="B1" s="318"/>
      <c r="C1" s="318"/>
      <c r="D1" s="318"/>
      <c r="E1" s="318"/>
      <c r="F1" s="318"/>
      <c r="G1" s="318"/>
      <c r="H1" s="318"/>
      <c r="I1" s="318"/>
      <c r="J1" s="318"/>
      <c r="K1" s="318"/>
      <c r="L1" s="275"/>
      <c r="M1" s="275"/>
      <c r="N1" s="318"/>
      <c r="O1" s="364"/>
    </row>
    <row r="2" spans="1:15" s="366" customFormat="1" x14ac:dyDescent="0.25">
      <c r="A2" s="319" t="s">
        <v>114</v>
      </c>
      <c r="L2" s="413"/>
      <c r="M2" s="414"/>
      <c r="N2" s="367"/>
    </row>
    <row r="3" spans="1:15" s="366" customFormat="1" ht="12.75" x14ac:dyDescent="0.25">
      <c r="A3" s="366" t="s">
        <v>72</v>
      </c>
      <c r="B3" s="320" t="str" cm="1">
        <f t="array" ref="B3:C3">'Invul- en verrekenblad'!E5:F5</f>
        <v>CROW400 Definitief versie 1.3 - 2026</v>
      </c>
      <c r="C3" s="366">
        <v>0</v>
      </c>
      <c r="L3" s="413"/>
      <c r="M3" s="414"/>
      <c r="N3" s="367"/>
    </row>
    <row r="4" spans="1:15" s="366" customFormat="1" ht="13.9" customHeight="1" x14ac:dyDescent="0.25">
      <c r="A4" s="366" t="s">
        <v>74</v>
      </c>
      <c r="B4" s="422">
        <f>'Invul- en verrekenblad'!E6</f>
        <v>46119</v>
      </c>
      <c r="L4" s="413"/>
      <c r="M4" s="414"/>
      <c r="N4" s="367"/>
    </row>
    <row r="5" spans="1:15" s="366" customFormat="1" x14ac:dyDescent="0.25">
      <c r="A5" s="366" t="s">
        <v>76</v>
      </c>
      <c r="B5" s="322" t="str">
        <f>'Invul- en verrekenblad'!E7</f>
        <v>Alliander SRM Sourcing - Contractmanagement Aannemerij</v>
      </c>
      <c r="L5" s="413"/>
      <c r="M5" s="414"/>
      <c r="N5" s="367"/>
    </row>
    <row r="6" spans="1:15" s="366" customFormat="1" ht="18.75" x14ac:dyDescent="0.3">
      <c r="B6" s="472" t="s">
        <v>332</v>
      </c>
      <c r="C6" s="422"/>
      <c r="L6" s="413"/>
      <c r="M6" s="414"/>
      <c r="N6" s="367"/>
    </row>
    <row r="7" spans="1:15" s="365" customFormat="1" ht="12" thickBot="1" x14ac:dyDescent="0.25">
      <c r="C7" s="424"/>
      <c r="L7" s="276"/>
      <c r="M7" s="279"/>
      <c r="N7" s="369"/>
    </row>
    <row r="8" spans="1:15" s="365" customFormat="1" ht="23.25" customHeight="1" thickBot="1" x14ac:dyDescent="0.25">
      <c r="A8" s="425" t="s">
        <v>184</v>
      </c>
      <c r="B8" s="426" t="s">
        <v>185</v>
      </c>
      <c r="C8" s="426" t="s">
        <v>186</v>
      </c>
      <c r="D8" s="491"/>
      <c r="E8" s="491"/>
      <c r="F8" s="491"/>
      <c r="G8" s="491"/>
      <c r="H8" s="491"/>
      <c r="I8" s="491"/>
      <c r="J8" s="491"/>
      <c r="K8" s="328"/>
      <c r="L8" s="492"/>
      <c r="M8" s="492"/>
      <c r="N8" s="370"/>
      <c r="O8" s="371"/>
    </row>
    <row r="9" spans="1:15" s="365" customFormat="1" ht="51" customHeight="1" thickBot="1" x14ac:dyDescent="0.25">
      <c r="A9" s="427">
        <v>1</v>
      </c>
      <c r="B9" s="330" t="s">
        <v>124</v>
      </c>
      <c r="C9" s="327"/>
      <c r="D9" s="428" t="s">
        <v>313</v>
      </c>
      <c r="E9" s="429" t="s">
        <v>117</v>
      </c>
      <c r="F9" s="429" t="s">
        <v>118</v>
      </c>
      <c r="G9" s="430" t="s">
        <v>119</v>
      </c>
      <c r="H9" s="430" t="s">
        <v>120</v>
      </c>
      <c r="I9" s="431" t="s">
        <v>121</v>
      </c>
      <c r="J9" s="431" t="s">
        <v>122</v>
      </c>
      <c r="K9" s="372" t="s">
        <v>187</v>
      </c>
      <c r="L9" s="410" t="s">
        <v>188</v>
      </c>
      <c r="M9" s="415" t="s">
        <v>189</v>
      </c>
      <c r="N9" s="373" t="s">
        <v>190</v>
      </c>
      <c r="O9" s="374"/>
    </row>
    <row r="10" spans="1:15" s="379" customFormat="1" ht="33.75" x14ac:dyDescent="0.2">
      <c r="A10" s="432" t="s">
        <v>191</v>
      </c>
      <c r="B10" s="353" t="s">
        <v>192</v>
      </c>
      <c r="C10" s="353" t="s">
        <v>193</v>
      </c>
      <c r="D10" s="375" t="s">
        <v>194</v>
      </c>
      <c r="E10" s="375" t="s">
        <v>115</v>
      </c>
      <c r="F10" s="375" t="s">
        <v>115</v>
      </c>
      <c r="G10" s="375" t="s">
        <v>115</v>
      </c>
      <c r="H10" s="375" t="s">
        <v>115</v>
      </c>
      <c r="I10" s="375" t="s">
        <v>115</v>
      </c>
      <c r="J10" s="375" t="s">
        <v>115</v>
      </c>
      <c r="K10" s="375">
        <f>IF(('Invul- en verrekenblad'!B20)&gt;0,0,'Invul- en verrekenblad'!B19)</f>
        <v>0</v>
      </c>
      <c r="L10" s="403" t="s">
        <v>195</v>
      </c>
      <c r="M10" s="416">
        <f>Gegevensblad!M10</f>
        <v>788.15229749355558</v>
      </c>
      <c r="N10" s="376">
        <f>IF('Invul- en verrekenblad'!B5="1.1  Aansluitingen + Net",K10*M10,0)</f>
        <v>0</v>
      </c>
      <c r="O10" s="377"/>
    </row>
    <row r="11" spans="1:15" s="379" customFormat="1" ht="33.75" x14ac:dyDescent="0.2">
      <c r="A11" s="433" t="s">
        <v>196</v>
      </c>
      <c r="B11" s="354" t="s">
        <v>197</v>
      </c>
      <c r="C11" s="354" t="s">
        <v>193</v>
      </c>
      <c r="D11" s="380" t="s">
        <v>194</v>
      </c>
      <c r="E11" s="380" t="s">
        <v>115</v>
      </c>
      <c r="F11" s="380" t="s">
        <v>115</v>
      </c>
      <c r="G11" s="380" t="s">
        <v>115</v>
      </c>
      <c r="H11" s="380" t="s">
        <v>115</v>
      </c>
      <c r="I11" s="380" t="s">
        <v>115</v>
      </c>
      <c r="J11" s="380" t="s">
        <v>115</v>
      </c>
      <c r="K11" s="380">
        <f>IF(('Invul- en verrekenblad'!B20)&gt;0,0,'Invul- en verrekenblad'!B19)</f>
        <v>0</v>
      </c>
      <c r="L11" s="404" t="s">
        <v>195</v>
      </c>
      <c r="M11" s="461">
        <f>Gegevensblad!M11</f>
        <v>685.99735823544768</v>
      </c>
      <c r="N11" s="381">
        <f>IF('Invul- en verrekenblad'!B5="1.1a Aansluitingen",K11*M11,0)</f>
        <v>0</v>
      </c>
    </row>
    <row r="12" spans="1:15" s="379" customFormat="1" ht="33.75" x14ac:dyDescent="0.2">
      <c r="A12" s="433" t="s">
        <v>198</v>
      </c>
      <c r="B12" s="354" t="s">
        <v>199</v>
      </c>
      <c r="C12" s="354" t="s">
        <v>193</v>
      </c>
      <c r="D12" s="380" t="s">
        <v>194</v>
      </c>
      <c r="E12" s="380" t="s">
        <v>115</v>
      </c>
      <c r="F12" s="380" t="s">
        <v>115</v>
      </c>
      <c r="G12" s="380" t="s">
        <v>115</v>
      </c>
      <c r="H12" s="380" t="s">
        <v>115</v>
      </c>
      <c r="I12" s="380" t="s">
        <v>115</v>
      </c>
      <c r="J12" s="380" t="s">
        <v>115</v>
      </c>
      <c r="K12" s="380">
        <f>IF(('Invul- en verrekenblad'!B20)&gt;0,0,'Invul- en verrekenblad'!B19)</f>
        <v>0</v>
      </c>
      <c r="L12" s="404" t="s">
        <v>195</v>
      </c>
      <c r="M12" s="461">
        <f>Gegevensblad!M12</f>
        <v>903.01067714958174</v>
      </c>
      <c r="N12" s="381">
        <f>IF('Invul- en verrekenblad'!B5="1.1b Net",K12*M12,0)</f>
        <v>0</v>
      </c>
      <c r="O12" s="382"/>
    </row>
    <row r="13" spans="1:15" s="379" customFormat="1" ht="33.75" x14ac:dyDescent="0.2">
      <c r="A13" s="433" t="s">
        <v>200</v>
      </c>
      <c r="B13" s="354" t="s">
        <v>201</v>
      </c>
      <c r="C13" s="354" t="s">
        <v>202</v>
      </c>
      <c r="D13" s="380" t="s">
        <v>194</v>
      </c>
      <c r="E13" s="434" t="s">
        <v>203</v>
      </c>
      <c r="F13" s="434" t="s">
        <v>203</v>
      </c>
      <c r="G13" s="434" t="s">
        <v>203</v>
      </c>
      <c r="H13" s="434" t="s">
        <v>203</v>
      </c>
      <c r="I13" s="434" t="s">
        <v>203</v>
      </c>
      <c r="J13" s="434" t="s">
        <v>203</v>
      </c>
      <c r="K13" s="380">
        <f>IF(('Invul- en verrekenblad'!B20)&gt;0,0,IF(Variabelen!I9="ja",1,0))</f>
        <v>0</v>
      </c>
      <c r="L13" s="404" t="s">
        <v>195</v>
      </c>
      <c r="M13" s="461">
        <f>Gegevensblad!M13</f>
        <v>13.93021898974199</v>
      </c>
      <c r="N13" s="381">
        <f>IF('Invul- en verrekenblad'!B5="1.1  Aansluitingen + Net",K13*M13,0)</f>
        <v>0</v>
      </c>
      <c r="O13" s="382"/>
    </row>
    <row r="14" spans="1:15" s="379" customFormat="1" ht="33.75" x14ac:dyDescent="0.2">
      <c r="A14" s="433" t="s">
        <v>314</v>
      </c>
      <c r="B14" s="354" t="s">
        <v>201</v>
      </c>
      <c r="C14" s="354" t="s">
        <v>202</v>
      </c>
      <c r="D14" s="380" t="s">
        <v>194</v>
      </c>
      <c r="E14" s="434" t="s">
        <v>203</v>
      </c>
      <c r="F14" s="434" t="s">
        <v>203</v>
      </c>
      <c r="G14" s="434" t="s">
        <v>203</v>
      </c>
      <c r="H14" s="434" t="s">
        <v>203</v>
      </c>
      <c r="I14" s="434" t="s">
        <v>203</v>
      </c>
      <c r="J14" s="434" t="s">
        <v>203</v>
      </c>
      <c r="K14" s="380">
        <f>IF(('Invul- en verrekenblad'!B20)&gt;0,0,IF(Variabelen!I9="ja",1,0))</f>
        <v>0</v>
      </c>
      <c r="L14" s="404" t="s">
        <v>195</v>
      </c>
      <c r="M14" s="461">
        <f>Gegevensblad!M14</f>
        <v>0</v>
      </c>
      <c r="N14" s="381">
        <f>IF('Invul- en verrekenblad'!B5="1.1a Aansluitingen",K14*M14,0)</f>
        <v>0</v>
      </c>
      <c r="O14" s="382"/>
    </row>
    <row r="15" spans="1:15" s="379" customFormat="1" ht="33.75" x14ac:dyDescent="0.2">
      <c r="A15" s="433" t="s">
        <v>315</v>
      </c>
      <c r="B15" s="354" t="s">
        <v>201</v>
      </c>
      <c r="C15" s="354" t="s">
        <v>202</v>
      </c>
      <c r="D15" s="380" t="s">
        <v>194</v>
      </c>
      <c r="E15" s="434" t="s">
        <v>203</v>
      </c>
      <c r="F15" s="434" t="s">
        <v>203</v>
      </c>
      <c r="G15" s="434" t="s">
        <v>203</v>
      </c>
      <c r="H15" s="434" t="s">
        <v>203</v>
      </c>
      <c r="I15" s="434" t="s">
        <v>203</v>
      </c>
      <c r="J15" s="434" t="s">
        <v>203</v>
      </c>
      <c r="K15" s="380">
        <f>IF(('Invul- en verrekenblad'!B20)&gt;0,0,IF(Variabelen!I9="ja",1,0))</f>
        <v>0</v>
      </c>
      <c r="L15" s="404" t="s">
        <v>195</v>
      </c>
      <c r="M15" s="461">
        <f>Gegevensblad!M15</f>
        <v>27.860437979483979</v>
      </c>
      <c r="N15" s="381">
        <f>IF('Invul- en verrekenblad'!B5="1.1b Net",K15*M15,0)</f>
        <v>0</v>
      </c>
      <c r="O15" s="382"/>
    </row>
    <row r="16" spans="1:15" s="379" customFormat="1" ht="33.75" x14ac:dyDescent="0.2">
      <c r="A16" s="435" t="s">
        <v>204</v>
      </c>
      <c r="B16" s="354" t="s">
        <v>205</v>
      </c>
      <c r="C16" s="436" t="s">
        <v>206</v>
      </c>
      <c r="D16" s="380" t="s">
        <v>194</v>
      </c>
      <c r="E16" s="380" t="s">
        <v>115</v>
      </c>
      <c r="F16" s="380" t="s">
        <v>115</v>
      </c>
      <c r="G16" s="380" t="s">
        <v>115</v>
      </c>
      <c r="H16" s="380" t="s">
        <v>115</v>
      </c>
      <c r="I16" s="380" t="s">
        <v>115</v>
      </c>
      <c r="J16" s="380" t="s">
        <v>207</v>
      </c>
      <c r="K16" s="380">
        <f>IF(('Invul- en verrekenblad'!B20)&gt;0,0,'Invul- en verrekenblad'!B19)</f>
        <v>0</v>
      </c>
      <c r="L16" s="404" t="s">
        <v>195</v>
      </c>
      <c r="M16" s="461">
        <f>Gegevensblad!M16</f>
        <v>297.67270594861179</v>
      </c>
      <c r="N16" s="381">
        <f>K16*M16</f>
        <v>0</v>
      </c>
      <c r="O16" s="383"/>
    </row>
    <row r="17" spans="1:15" ht="56.25" x14ac:dyDescent="0.2">
      <c r="A17" s="435" t="s">
        <v>208</v>
      </c>
      <c r="B17" s="354" t="s">
        <v>209</v>
      </c>
      <c r="C17" s="436" t="s">
        <v>327</v>
      </c>
      <c r="D17" s="380" t="s">
        <v>194</v>
      </c>
      <c r="E17" s="380" t="s">
        <v>194</v>
      </c>
      <c r="F17" s="380" t="s">
        <v>194</v>
      </c>
      <c r="G17" s="380" t="s">
        <v>115</v>
      </c>
      <c r="H17" s="380" t="s">
        <v>115</v>
      </c>
      <c r="I17" s="380" t="s">
        <v>115</v>
      </c>
      <c r="J17" s="380" t="s">
        <v>207</v>
      </c>
      <c r="K17" s="380">
        <f>IF(('Invul- en verrekenblad'!B20)&gt;0,0,'Invul- en verrekenblad'!B19)</f>
        <v>0</v>
      </c>
      <c r="L17" s="404" t="s">
        <v>195</v>
      </c>
      <c r="M17" s="461">
        <f>Gegevensblad!M17</f>
        <v>222.88350383587184</v>
      </c>
      <c r="N17" s="381">
        <f>K17*M17</f>
        <v>0</v>
      </c>
      <c r="O17" s="377"/>
    </row>
    <row r="18" spans="1:15" ht="23.25" thickBot="1" x14ac:dyDescent="0.25">
      <c r="A18" s="438" t="s">
        <v>211</v>
      </c>
      <c r="B18" s="356" t="s">
        <v>212</v>
      </c>
      <c r="C18" s="356" t="s">
        <v>328</v>
      </c>
      <c r="D18" s="357" t="s">
        <v>194</v>
      </c>
      <c r="E18" s="357" t="s">
        <v>194</v>
      </c>
      <c r="F18" s="357" t="s">
        <v>194</v>
      </c>
      <c r="G18" s="357" t="s">
        <v>115</v>
      </c>
      <c r="H18" s="357" t="s">
        <v>115</v>
      </c>
      <c r="I18" s="357" t="s">
        <v>115</v>
      </c>
      <c r="J18" s="357" t="s">
        <v>115</v>
      </c>
      <c r="K18" s="357">
        <f>IF(('Invul- en verrekenblad'!B20)&gt;0,0,'Invul- en verrekenblad'!B19)</f>
        <v>0</v>
      </c>
      <c r="L18" s="405" t="s">
        <v>195</v>
      </c>
      <c r="M18" s="462">
        <f>Gegevensblad!M18</f>
        <v>118.65161551936055</v>
      </c>
      <c r="N18" s="384">
        <f>K18*M18</f>
        <v>0</v>
      </c>
      <c r="O18" s="377"/>
    </row>
    <row r="19" spans="1:15" ht="47.25" thickBot="1" x14ac:dyDescent="0.25">
      <c r="A19" s="439">
        <v>2</v>
      </c>
      <c r="B19" s="330" t="s">
        <v>127</v>
      </c>
      <c r="C19" s="327"/>
      <c r="D19" s="428" t="s">
        <v>313</v>
      </c>
      <c r="E19" s="429" t="s">
        <v>117</v>
      </c>
      <c r="F19" s="429" t="s">
        <v>118</v>
      </c>
      <c r="G19" s="430" t="s">
        <v>119</v>
      </c>
      <c r="H19" s="430" t="s">
        <v>120</v>
      </c>
      <c r="I19" s="431" t="s">
        <v>121</v>
      </c>
      <c r="J19" s="431" t="s">
        <v>122</v>
      </c>
      <c r="K19" s="372"/>
      <c r="L19" s="410" t="s">
        <v>188</v>
      </c>
      <c r="M19" s="415" t="str">
        <f>Gegevensblad!M19</f>
        <v>Subtotaal Mensen</v>
      </c>
      <c r="N19" s="385"/>
      <c r="O19" s="386"/>
    </row>
    <row r="20" spans="1:15" ht="33.75" x14ac:dyDescent="0.25">
      <c r="A20" s="440" t="s">
        <v>214</v>
      </c>
      <c r="B20" s="353" t="s">
        <v>215</v>
      </c>
      <c r="C20" s="353" t="s">
        <v>216</v>
      </c>
      <c r="D20" s="375" t="s">
        <v>194</v>
      </c>
      <c r="E20" s="441" t="s">
        <v>115</v>
      </c>
      <c r="F20" s="441" t="s">
        <v>115</v>
      </c>
      <c r="G20" s="441" t="s">
        <v>115</v>
      </c>
      <c r="H20" s="375" t="s">
        <v>194</v>
      </c>
      <c r="I20" s="375" t="s">
        <v>194</v>
      </c>
      <c r="J20" s="375" t="s">
        <v>194</v>
      </c>
      <c r="K20" s="403"/>
      <c r="L20" s="403" t="s">
        <v>217</v>
      </c>
      <c r="M20" s="409">
        <f>Gegevensblad!M20</f>
        <v>811.64024501280403</v>
      </c>
      <c r="N20" s="456">
        <f t="shared" ref="N20:N26" si="0">K20*M20</f>
        <v>0</v>
      </c>
      <c r="O20" s="377"/>
    </row>
    <row r="21" spans="1:15" ht="33.75" x14ac:dyDescent="0.25">
      <c r="A21" s="442" t="s">
        <v>218</v>
      </c>
      <c r="B21" s="354" t="s">
        <v>219</v>
      </c>
      <c r="C21" s="354" t="s">
        <v>220</v>
      </c>
      <c r="D21" s="380" t="s">
        <v>194</v>
      </c>
      <c r="E21" s="380" t="s">
        <v>194</v>
      </c>
      <c r="F21" s="380" t="s">
        <v>194</v>
      </c>
      <c r="G21" s="380" t="s">
        <v>194</v>
      </c>
      <c r="H21" s="443" t="s">
        <v>115</v>
      </c>
      <c r="I21" s="443" t="s">
        <v>115</v>
      </c>
      <c r="J21" s="443" t="s">
        <v>115</v>
      </c>
      <c r="K21" s="380">
        <f>'Invul- en verrekenblad'!C19</f>
        <v>0</v>
      </c>
      <c r="L21" s="404" t="s">
        <v>217</v>
      </c>
      <c r="M21" s="409">
        <f>Gegevensblad!M21</f>
        <v>811.64024501280403</v>
      </c>
      <c r="N21" s="388">
        <f t="shared" si="0"/>
        <v>0</v>
      </c>
      <c r="O21" s="377"/>
    </row>
    <row r="22" spans="1:15" ht="33.75" x14ac:dyDescent="0.25">
      <c r="A22" s="442" t="s">
        <v>221</v>
      </c>
      <c r="B22" s="354" t="s">
        <v>222</v>
      </c>
      <c r="C22" s="354" t="s">
        <v>223</v>
      </c>
      <c r="D22" s="380" t="s">
        <v>194</v>
      </c>
      <c r="E22" s="380" t="s">
        <v>194</v>
      </c>
      <c r="F22" s="380" t="s">
        <v>194</v>
      </c>
      <c r="G22" s="380" t="s">
        <v>194</v>
      </c>
      <c r="H22" s="443" t="s">
        <v>115</v>
      </c>
      <c r="I22" s="443" t="s">
        <v>194</v>
      </c>
      <c r="J22" s="443" t="s">
        <v>115</v>
      </c>
      <c r="K22" s="404"/>
      <c r="L22" s="404" t="s">
        <v>217</v>
      </c>
      <c r="M22" s="409">
        <f>Gegevensblad!M22</f>
        <v>0</v>
      </c>
      <c r="N22" s="457">
        <f t="shared" si="0"/>
        <v>0</v>
      </c>
      <c r="O22" s="377"/>
    </row>
    <row r="23" spans="1:15" ht="33.75" x14ac:dyDescent="0.25">
      <c r="A23" s="442" t="s">
        <v>224</v>
      </c>
      <c r="B23" s="354" t="s">
        <v>225</v>
      </c>
      <c r="C23" s="354" t="s">
        <v>226</v>
      </c>
      <c r="D23" s="380" t="s">
        <v>194</v>
      </c>
      <c r="E23" s="380" t="s">
        <v>194</v>
      </c>
      <c r="F23" s="380" t="s">
        <v>194</v>
      </c>
      <c r="G23" s="380" t="s">
        <v>194</v>
      </c>
      <c r="H23" s="443" t="s">
        <v>115</v>
      </c>
      <c r="I23" s="443" t="s">
        <v>115</v>
      </c>
      <c r="J23" s="443" t="s">
        <v>115</v>
      </c>
      <c r="K23" s="380">
        <f>'Invul- en verrekenblad'!C19</f>
        <v>0</v>
      </c>
      <c r="L23" s="404" t="s">
        <v>217</v>
      </c>
      <c r="M23" s="409">
        <f>Gegevensblad!M23</f>
        <v>0</v>
      </c>
      <c r="N23" s="388">
        <f t="shared" si="0"/>
        <v>0</v>
      </c>
      <c r="O23" s="377"/>
    </row>
    <row r="24" spans="1:15" ht="33.75" x14ac:dyDescent="0.25">
      <c r="A24" s="442" t="s">
        <v>227</v>
      </c>
      <c r="B24" s="354" t="s">
        <v>228</v>
      </c>
      <c r="C24" s="354" t="s">
        <v>229</v>
      </c>
      <c r="D24" s="380" t="s">
        <v>194</v>
      </c>
      <c r="E24" s="380" t="s">
        <v>115</v>
      </c>
      <c r="F24" s="443" t="s">
        <v>115</v>
      </c>
      <c r="G24" s="443" t="s">
        <v>115</v>
      </c>
      <c r="H24" s="380" t="s">
        <v>194</v>
      </c>
      <c r="I24" s="380" t="s">
        <v>194</v>
      </c>
      <c r="J24" s="380" t="s">
        <v>194</v>
      </c>
      <c r="K24" s="404"/>
      <c r="L24" s="404" t="s">
        <v>217</v>
      </c>
      <c r="M24" s="409">
        <f>Gegevensblad!M24</f>
        <v>49.661587741513571</v>
      </c>
      <c r="N24" s="457">
        <f t="shared" si="0"/>
        <v>0</v>
      </c>
      <c r="O24" s="377"/>
    </row>
    <row r="25" spans="1:15" ht="45" x14ac:dyDescent="0.25">
      <c r="A25" s="442" t="s">
        <v>230</v>
      </c>
      <c r="B25" s="354" t="s">
        <v>231</v>
      </c>
      <c r="C25" s="354" t="s">
        <v>232</v>
      </c>
      <c r="D25" s="380" t="s">
        <v>194</v>
      </c>
      <c r="E25" s="380" t="s">
        <v>194</v>
      </c>
      <c r="F25" s="380" t="s">
        <v>194</v>
      </c>
      <c r="G25" s="380" t="s">
        <v>194</v>
      </c>
      <c r="H25" s="443" t="s">
        <v>115</v>
      </c>
      <c r="I25" s="443" t="s">
        <v>115</v>
      </c>
      <c r="J25" s="443" t="s">
        <v>115</v>
      </c>
      <c r="K25" s="380">
        <f>'Invul- en verrekenblad'!C19</f>
        <v>0</v>
      </c>
      <c r="L25" s="404" t="s">
        <v>217</v>
      </c>
      <c r="M25" s="409">
        <f>Gegevensblad!M25</f>
        <v>60.976513910007291</v>
      </c>
      <c r="N25" s="388">
        <f t="shared" si="0"/>
        <v>0</v>
      </c>
      <c r="O25" s="377"/>
    </row>
    <row r="26" spans="1:15" ht="57.6" customHeight="1" thickBot="1" x14ac:dyDescent="0.3">
      <c r="A26" s="444" t="s">
        <v>128</v>
      </c>
      <c r="B26" s="356" t="s">
        <v>233</v>
      </c>
      <c r="C26" s="356" t="s">
        <v>316</v>
      </c>
      <c r="D26" s="357" t="s">
        <v>194</v>
      </c>
      <c r="E26" s="445" t="s">
        <v>203</v>
      </c>
      <c r="F26" s="445" t="s">
        <v>203</v>
      </c>
      <c r="G26" s="445" t="s">
        <v>203</v>
      </c>
      <c r="H26" s="445" t="s">
        <v>203</v>
      </c>
      <c r="I26" s="445" t="s">
        <v>203</v>
      </c>
      <c r="J26" s="445" t="s">
        <v>203</v>
      </c>
      <c r="K26" s="357" t="b">
        <f>IF('Invul- en verrekenblad'!B19=1,IF(Variabelen!I11="ja",1,0))</f>
        <v>0</v>
      </c>
      <c r="L26" s="389" t="s">
        <v>235</v>
      </c>
      <c r="M26" s="390">
        <f>Variabelen!$L$11</f>
        <v>0</v>
      </c>
      <c r="N26" s="391">
        <f t="shared" si="0"/>
        <v>0</v>
      </c>
      <c r="O26" s="377"/>
    </row>
    <row r="27" spans="1:15" ht="47.25" thickBot="1" x14ac:dyDescent="0.25">
      <c r="A27" s="439">
        <v>3</v>
      </c>
      <c r="B27" s="330" t="s">
        <v>236</v>
      </c>
      <c r="C27" s="327"/>
      <c r="D27" s="428" t="s">
        <v>313</v>
      </c>
      <c r="E27" s="429" t="s">
        <v>117</v>
      </c>
      <c r="F27" s="429" t="s">
        <v>118</v>
      </c>
      <c r="G27" s="430" t="s">
        <v>119</v>
      </c>
      <c r="H27" s="430" t="s">
        <v>120</v>
      </c>
      <c r="I27" s="431" t="s">
        <v>121</v>
      </c>
      <c r="J27" s="431" t="s">
        <v>122</v>
      </c>
      <c r="K27" s="372"/>
      <c r="L27" s="372" t="s">
        <v>188</v>
      </c>
      <c r="M27" s="415" t="str">
        <f>Gegevensblad!M27</f>
        <v>Prijs per eenheid (€)</v>
      </c>
      <c r="N27" s="385"/>
      <c r="O27" s="386"/>
    </row>
    <row r="28" spans="1:15" ht="67.5" x14ac:dyDescent="0.25">
      <c r="A28" s="440" t="s">
        <v>237</v>
      </c>
      <c r="B28" s="353" t="s">
        <v>238</v>
      </c>
      <c r="C28" s="353" t="s">
        <v>239</v>
      </c>
      <c r="D28" s="375" t="s">
        <v>194</v>
      </c>
      <c r="E28" s="375" t="s">
        <v>115</v>
      </c>
      <c r="F28" s="375" t="s">
        <v>115</v>
      </c>
      <c r="G28" s="441" t="s">
        <v>115</v>
      </c>
      <c r="H28" s="375" t="s">
        <v>194</v>
      </c>
      <c r="I28" s="375" t="s">
        <v>194</v>
      </c>
      <c r="J28" s="375" t="s">
        <v>194</v>
      </c>
      <c r="K28" s="403"/>
      <c r="L28" s="375" t="s">
        <v>195</v>
      </c>
      <c r="M28" s="409">
        <f>Gegevensblad!M28</f>
        <v>620.76984676891959</v>
      </c>
      <c r="N28" s="456">
        <f>K28*M28</f>
        <v>0</v>
      </c>
      <c r="O28" s="377"/>
    </row>
    <row r="29" spans="1:15" ht="82.15" customHeight="1" thickBot="1" x14ac:dyDescent="0.3">
      <c r="A29" s="355" t="s">
        <v>240</v>
      </c>
      <c r="B29" s="356" t="s">
        <v>241</v>
      </c>
      <c r="C29" s="356" t="s">
        <v>242</v>
      </c>
      <c r="D29" s="357" t="s">
        <v>194</v>
      </c>
      <c r="E29" s="357" t="s">
        <v>194</v>
      </c>
      <c r="F29" s="357" t="s">
        <v>194</v>
      </c>
      <c r="G29" s="357" t="s">
        <v>194</v>
      </c>
      <c r="H29" s="445" t="s">
        <v>115</v>
      </c>
      <c r="I29" s="445" t="s">
        <v>115</v>
      </c>
      <c r="J29" s="445" t="s">
        <v>115</v>
      </c>
      <c r="K29" s="357">
        <f>IF(('Invul- en verrekenblad'!B20)&gt;0,0,'Invul- en verrekenblad'!B19)</f>
        <v>0</v>
      </c>
      <c r="L29" s="357" t="s">
        <v>195</v>
      </c>
      <c r="M29" s="419">
        <f>Gegevensblad!M29</f>
        <v>762.2064238750911</v>
      </c>
      <c r="N29" s="391">
        <f>K29*M29</f>
        <v>0</v>
      </c>
      <c r="O29" s="377"/>
    </row>
    <row r="30" spans="1:15" ht="47.25" thickBot="1" x14ac:dyDescent="0.25">
      <c r="A30" s="427">
        <v>4</v>
      </c>
      <c r="B30" s="330" t="s">
        <v>131</v>
      </c>
      <c r="C30" s="327"/>
      <c r="D30" s="428" t="s">
        <v>313</v>
      </c>
      <c r="E30" s="429" t="s">
        <v>117</v>
      </c>
      <c r="F30" s="429" t="s">
        <v>118</v>
      </c>
      <c r="G30" s="430" t="s">
        <v>119</v>
      </c>
      <c r="H30" s="430" t="s">
        <v>120</v>
      </c>
      <c r="I30" s="431" t="s">
        <v>121</v>
      </c>
      <c r="J30" s="431" t="s">
        <v>122</v>
      </c>
      <c r="K30" s="372"/>
      <c r="L30" s="372" t="s">
        <v>188</v>
      </c>
      <c r="M30" s="415" t="str">
        <f>Gegevensblad!M30</f>
        <v>Prijs per eenheid (€)</v>
      </c>
      <c r="N30" s="385"/>
      <c r="O30" s="386"/>
    </row>
    <row r="31" spans="1:15" ht="45" x14ac:dyDescent="0.25">
      <c r="A31" s="446" t="s">
        <v>132</v>
      </c>
      <c r="B31" s="353" t="s">
        <v>133</v>
      </c>
      <c r="C31" s="353" t="s">
        <v>243</v>
      </c>
      <c r="D31" s="375" t="s">
        <v>194</v>
      </c>
      <c r="E31" s="375" t="s">
        <v>194</v>
      </c>
      <c r="F31" s="375" t="s">
        <v>203</v>
      </c>
      <c r="G31" s="375" t="s">
        <v>194</v>
      </c>
      <c r="H31" s="375" t="s">
        <v>203</v>
      </c>
      <c r="I31" s="375" t="s">
        <v>194</v>
      </c>
      <c r="J31" s="375" t="s">
        <v>203</v>
      </c>
      <c r="K31" s="403"/>
      <c r="L31" s="392" t="s">
        <v>235</v>
      </c>
      <c r="M31" s="420">
        <f>Gegevensblad!M31</f>
        <v>0</v>
      </c>
      <c r="N31" s="456">
        <f>K31*M31</f>
        <v>0</v>
      </c>
      <c r="O31" s="377"/>
    </row>
    <row r="32" spans="1:15" ht="45" x14ac:dyDescent="0.25">
      <c r="A32" s="447" t="s">
        <v>134</v>
      </c>
      <c r="B32" s="354" t="s">
        <v>135</v>
      </c>
      <c r="C32" s="354" t="s">
        <v>243</v>
      </c>
      <c r="D32" s="380" t="s">
        <v>194</v>
      </c>
      <c r="E32" s="380" t="s">
        <v>194</v>
      </c>
      <c r="F32" s="380" t="s">
        <v>203</v>
      </c>
      <c r="G32" s="380" t="s">
        <v>194</v>
      </c>
      <c r="H32" s="380" t="s">
        <v>203</v>
      </c>
      <c r="I32" s="380" t="s">
        <v>194</v>
      </c>
      <c r="J32" s="380" t="s">
        <v>203</v>
      </c>
      <c r="K32" s="404"/>
      <c r="L32" s="393" t="s">
        <v>235</v>
      </c>
      <c r="M32" s="421">
        <f>Gegevensblad!M32</f>
        <v>0</v>
      </c>
      <c r="N32" s="457">
        <f>K32*M32</f>
        <v>0</v>
      </c>
      <c r="O32" s="377"/>
    </row>
    <row r="33" spans="1:15" ht="45.75" thickBot="1" x14ac:dyDescent="0.3">
      <c r="A33" s="444" t="s">
        <v>136</v>
      </c>
      <c r="B33" s="356" t="s">
        <v>137</v>
      </c>
      <c r="C33" s="356" t="s">
        <v>244</v>
      </c>
      <c r="D33" s="357" t="s">
        <v>194</v>
      </c>
      <c r="E33" s="357" t="s">
        <v>194</v>
      </c>
      <c r="F33" s="357" t="s">
        <v>203</v>
      </c>
      <c r="G33" s="357" t="s">
        <v>194</v>
      </c>
      <c r="H33" s="357" t="s">
        <v>203</v>
      </c>
      <c r="I33" s="357" t="s">
        <v>194</v>
      </c>
      <c r="J33" s="357" t="s">
        <v>203</v>
      </c>
      <c r="K33" s="405"/>
      <c r="L33" s="390" t="s">
        <v>235</v>
      </c>
      <c r="M33" s="418">
        <f>Gegevensblad!M33</f>
        <v>0</v>
      </c>
      <c r="N33" s="455">
        <f>K33*M33</f>
        <v>0</v>
      </c>
      <c r="O33" s="377"/>
    </row>
    <row r="34" spans="1:15" ht="48.75" customHeight="1" thickBot="1" x14ac:dyDescent="0.3">
      <c r="A34" s="427">
        <v>5</v>
      </c>
      <c r="B34" s="493" t="s">
        <v>245</v>
      </c>
      <c r="C34" s="493"/>
      <c r="D34" s="428" t="s">
        <v>313</v>
      </c>
      <c r="E34" s="429" t="s">
        <v>117</v>
      </c>
      <c r="F34" s="429" t="s">
        <v>118</v>
      </c>
      <c r="G34" s="430" t="s">
        <v>119</v>
      </c>
      <c r="H34" s="430" t="s">
        <v>120</v>
      </c>
      <c r="I34" s="431" t="s">
        <v>121</v>
      </c>
      <c r="J34" s="431" t="s">
        <v>122</v>
      </c>
      <c r="K34" s="372"/>
      <c r="L34" s="372" t="s">
        <v>188</v>
      </c>
      <c r="M34" s="415" t="str">
        <f>Gegevensblad!M34</f>
        <v>Prijs per eenheid (€)</v>
      </c>
      <c r="N34" s="385"/>
      <c r="O34" s="386"/>
    </row>
    <row r="35" spans="1:15" ht="33.75" x14ac:dyDescent="0.25">
      <c r="A35" s="440" t="s">
        <v>246</v>
      </c>
      <c r="B35" s="353" t="s">
        <v>247</v>
      </c>
      <c r="C35" s="353" t="s">
        <v>248</v>
      </c>
      <c r="D35" s="375" t="s">
        <v>115</v>
      </c>
      <c r="E35" s="375" t="s">
        <v>115</v>
      </c>
      <c r="F35" s="375" t="s">
        <v>115</v>
      </c>
      <c r="G35" s="375" t="s">
        <v>115</v>
      </c>
      <c r="H35" s="375" t="s">
        <v>115</v>
      </c>
      <c r="I35" s="375" t="s">
        <v>115</v>
      </c>
      <c r="J35" s="375" t="s">
        <v>115</v>
      </c>
      <c r="K35" s="375">
        <f>'Invul- en verrekenblad'!C19</f>
        <v>0</v>
      </c>
      <c r="L35" s="375" t="s">
        <v>217</v>
      </c>
      <c r="M35" s="409">
        <f>Gegevensblad!M35</f>
        <v>0</v>
      </c>
      <c r="N35" s="387">
        <f t="shared" ref="N35:N43" si="1">K35*M35</f>
        <v>0</v>
      </c>
      <c r="O35" s="377"/>
    </row>
    <row r="36" spans="1:15" ht="22.5" x14ac:dyDescent="0.25">
      <c r="A36" s="442" t="s">
        <v>139</v>
      </c>
      <c r="B36" s="354" t="s">
        <v>140</v>
      </c>
      <c r="C36" s="354" t="s">
        <v>249</v>
      </c>
      <c r="D36" s="380" t="s">
        <v>203</v>
      </c>
      <c r="E36" s="380" t="s">
        <v>203</v>
      </c>
      <c r="F36" s="380" t="s">
        <v>203</v>
      </c>
      <c r="G36" s="380" t="s">
        <v>115</v>
      </c>
      <c r="H36" s="380" t="s">
        <v>115</v>
      </c>
      <c r="I36" s="380" t="s">
        <v>115</v>
      </c>
      <c r="J36" s="380" t="s">
        <v>115</v>
      </c>
      <c r="K36" s="380">
        <f>IF(('Invul- en verrekenblad'!B20)&gt;0,0,'Invul- en verrekenblad'!B19)</f>
        <v>0</v>
      </c>
      <c r="L36" s="380" t="s">
        <v>250</v>
      </c>
      <c r="M36" s="412">
        <f>Gegevensblad!M36</f>
        <v>9.9831560644368125</v>
      </c>
      <c r="N36" s="388">
        <f t="shared" si="1"/>
        <v>0</v>
      </c>
      <c r="O36" s="377"/>
    </row>
    <row r="37" spans="1:15" ht="33.75" x14ac:dyDescent="0.25">
      <c r="A37" s="447" t="s">
        <v>141</v>
      </c>
      <c r="B37" s="354" t="s">
        <v>251</v>
      </c>
      <c r="C37" s="354" t="s">
        <v>329</v>
      </c>
      <c r="D37" s="380" t="s">
        <v>194</v>
      </c>
      <c r="E37" s="380" t="s">
        <v>194</v>
      </c>
      <c r="F37" s="380" t="s">
        <v>194</v>
      </c>
      <c r="G37" s="434" t="s">
        <v>203</v>
      </c>
      <c r="H37" s="434" t="s">
        <v>203</v>
      </c>
      <c r="I37" s="434" t="s">
        <v>203</v>
      </c>
      <c r="J37" s="434" t="s">
        <v>203</v>
      </c>
      <c r="K37" s="380" t="b">
        <f>IF('Invul- en verrekenblad'!B19=1,IF(Variabelen!I18="ja",'Invul- en verrekenblad'!C19,0))</f>
        <v>0</v>
      </c>
      <c r="L37" s="380" t="s">
        <v>217</v>
      </c>
      <c r="M37" s="412">
        <f>Gegevensblad!M37</f>
        <v>152.18225707982944</v>
      </c>
      <c r="N37" s="388">
        <f t="shared" si="1"/>
        <v>0</v>
      </c>
      <c r="O37" s="377"/>
    </row>
    <row r="38" spans="1:15" ht="22.5" x14ac:dyDescent="0.25">
      <c r="A38" s="447" t="s">
        <v>143</v>
      </c>
      <c r="B38" s="354" t="s">
        <v>253</v>
      </c>
      <c r="C38" s="354" t="s">
        <v>254</v>
      </c>
      <c r="D38" s="380" t="s">
        <v>194</v>
      </c>
      <c r="E38" s="380" t="s">
        <v>194</v>
      </c>
      <c r="F38" s="380" t="s">
        <v>194</v>
      </c>
      <c r="G38" s="434" t="s">
        <v>203</v>
      </c>
      <c r="H38" s="434" t="s">
        <v>203</v>
      </c>
      <c r="I38" s="434" t="s">
        <v>203</v>
      </c>
      <c r="J38" s="434" t="s">
        <v>203</v>
      </c>
      <c r="K38" s="394" t="b">
        <f>IF('Invul- en verrekenblad'!B19=1,IF(Variabelen!I18="ja",Variabelen!I19,0))</f>
        <v>0</v>
      </c>
      <c r="L38" s="394" t="s">
        <v>268</v>
      </c>
      <c r="M38" s="412">
        <f>Gegevensblad!M38</f>
        <v>436.76307781911055</v>
      </c>
      <c r="N38" s="388">
        <f t="shared" si="1"/>
        <v>0</v>
      </c>
      <c r="O38" s="377"/>
    </row>
    <row r="39" spans="1:15" x14ac:dyDescent="0.25">
      <c r="A39" s="442" t="s">
        <v>255</v>
      </c>
      <c r="B39" s="354" t="s">
        <v>256</v>
      </c>
      <c r="C39" s="354" t="s">
        <v>257</v>
      </c>
      <c r="D39" s="380" t="s">
        <v>194</v>
      </c>
      <c r="E39" s="380" t="s">
        <v>115</v>
      </c>
      <c r="F39" s="380" t="s">
        <v>115</v>
      </c>
      <c r="G39" s="380" t="s">
        <v>115</v>
      </c>
      <c r="H39" s="380" t="s">
        <v>115</v>
      </c>
      <c r="I39" s="380" t="s">
        <v>115</v>
      </c>
      <c r="J39" s="380" t="s">
        <v>115</v>
      </c>
      <c r="K39" s="380">
        <f>'Invul- en verrekenblad'!C19</f>
        <v>0</v>
      </c>
      <c r="L39" s="394" t="s">
        <v>217</v>
      </c>
      <c r="M39" s="412">
        <f>Gegevensblad!M39</f>
        <v>12.478945080546016</v>
      </c>
      <c r="N39" s="388">
        <f t="shared" si="1"/>
        <v>0</v>
      </c>
      <c r="O39" s="377"/>
    </row>
    <row r="40" spans="1:15" ht="45" x14ac:dyDescent="0.25">
      <c r="A40" s="447" t="s">
        <v>145</v>
      </c>
      <c r="B40" s="354" t="s">
        <v>146</v>
      </c>
      <c r="C40" s="354" t="s">
        <v>258</v>
      </c>
      <c r="D40" s="380" t="s">
        <v>203</v>
      </c>
      <c r="E40" s="434" t="s">
        <v>203</v>
      </c>
      <c r="F40" s="434" t="s">
        <v>203</v>
      </c>
      <c r="G40" s="434" t="s">
        <v>203</v>
      </c>
      <c r="H40" s="434" t="s">
        <v>203</v>
      </c>
      <c r="I40" s="434" t="s">
        <v>203</v>
      </c>
      <c r="J40" s="434" t="s">
        <v>203</v>
      </c>
      <c r="K40" s="394" t="b">
        <f>IF('Invul- en verrekenblad'!B19=1,IF(Variabelen!I20="ja",'Invul- en verrekenblad'!F19,0))</f>
        <v>0</v>
      </c>
      <c r="L40" s="394" t="s">
        <v>259</v>
      </c>
      <c r="M40" s="412">
        <f>Gegevensblad!M40</f>
        <v>1.1231050572491412</v>
      </c>
      <c r="N40" s="388">
        <f t="shared" si="1"/>
        <v>0</v>
      </c>
      <c r="O40" s="377"/>
    </row>
    <row r="41" spans="1:15" ht="45" x14ac:dyDescent="0.25">
      <c r="A41" s="447" t="s">
        <v>147</v>
      </c>
      <c r="B41" s="354" t="s">
        <v>260</v>
      </c>
      <c r="C41" s="354" t="s">
        <v>261</v>
      </c>
      <c r="D41" s="380" t="s">
        <v>194</v>
      </c>
      <c r="E41" s="434" t="s">
        <v>203</v>
      </c>
      <c r="F41" s="434" t="s">
        <v>203</v>
      </c>
      <c r="G41" s="434" t="s">
        <v>203</v>
      </c>
      <c r="H41" s="434" t="s">
        <v>203</v>
      </c>
      <c r="I41" s="434" t="s">
        <v>203</v>
      </c>
      <c r="J41" s="434" t="s">
        <v>203</v>
      </c>
      <c r="K41" s="380" t="b">
        <f>IF('Invul- en verrekenblad'!B19=1,IF(Variabelen!I21="ja",'Invul- en verrekenblad'!F19*('Invul- en verrekenblad'!C19/5),0))</f>
        <v>0</v>
      </c>
      <c r="L41" s="380" t="s">
        <v>262</v>
      </c>
      <c r="M41" s="412">
        <f>Gegevensblad!M41</f>
        <v>7.045474864806919</v>
      </c>
      <c r="N41" s="388">
        <f t="shared" si="1"/>
        <v>0</v>
      </c>
      <c r="O41" s="377"/>
    </row>
    <row r="42" spans="1:15" ht="56.25" x14ac:dyDescent="0.25">
      <c r="A42" s="447" t="s">
        <v>149</v>
      </c>
      <c r="B42" s="354" t="s">
        <v>263</v>
      </c>
      <c r="C42" s="354" t="s">
        <v>264</v>
      </c>
      <c r="D42" s="380" t="s">
        <v>203</v>
      </c>
      <c r="E42" s="434" t="s">
        <v>203</v>
      </c>
      <c r="F42" s="434" t="s">
        <v>203</v>
      </c>
      <c r="G42" s="434" t="s">
        <v>203</v>
      </c>
      <c r="H42" s="434" t="s">
        <v>203</v>
      </c>
      <c r="I42" s="434" t="s">
        <v>203</v>
      </c>
      <c r="J42" s="434" t="s">
        <v>203</v>
      </c>
      <c r="K42" s="395" t="b">
        <f>IF('Invul- en verrekenblad'!B19=1,IF(Variabelen!I22="ja",'Invul- en verrekenblad'!F19/3.5*('Invul- en verrekenblad'!C19/5),0))</f>
        <v>0</v>
      </c>
      <c r="L42" s="380" t="s">
        <v>265</v>
      </c>
      <c r="M42" s="412">
        <f>Gegevensblad!M42</f>
        <v>8.4545698377683021</v>
      </c>
      <c r="N42" s="388">
        <f t="shared" si="1"/>
        <v>0</v>
      </c>
      <c r="O42" s="377"/>
    </row>
    <row r="43" spans="1:15" ht="23.25" thickBot="1" x14ac:dyDescent="0.3">
      <c r="A43" s="447" t="s">
        <v>151</v>
      </c>
      <c r="B43" s="354" t="s">
        <v>266</v>
      </c>
      <c r="C43" s="354" t="s">
        <v>267</v>
      </c>
      <c r="D43" s="380" t="s">
        <v>203</v>
      </c>
      <c r="E43" s="434" t="s">
        <v>203</v>
      </c>
      <c r="F43" s="434" t="s">
        <v>203</v>
      </c>
      <c r="G43" s="434" t="s">
        <v>203</v>
      </c>
      <c r="H43" s="434" t="s">
        <v>203</v>
      </c>
      <c r="I43" s="434" t="s">
        <v>203</v>
      </c>
      <c r="J43" s="434" t="s">
        <v>203</v>
      </c>
      <c r="K43" s="380" t="b">
        <f>IF('Invul- en verrekenblad'!B19=1,IF(OR(Variabelen!I21="ja",Variabelen!I22="ja"),Variabelen!I23,0))</f>
        <v>0</v>
      </c>
      <c r="L43" s="380" t="s">
        <v>268</v>
      </c>
      <c r="M43" s="412">
        <f>Gegevensblad!M43</f>
        <v>450.91039134764281</v>
      </c>
      <c r="N43" s="388">
        <f t="shared" si="1"/>
        <v>0</v>
      </c>
      <c r="O43" s="377"/>
    </row>
    <row r="44" spans="1:15" ht="47.25" thickBot="1" x14ac:dyDescent="0.25">
      <c r="A44" s="427">
        <v>6</v>
      </c>
      <c r="B44" s="330" t="s">
        <v>155</v>
      </c>
      <c r="C44" s="327"/>
      <c r="D44" s="428" t="s">
        <v>313</v>
      </c>
      <c r="E44" s="429" t="s">
        <v>117</v>
      </c>
      <c r="F44" s="429" t="s">
        <v>118</v>
      </c>
      <c r="G44" s="430" t="s">
        <v>119</v>
      </c>
      <c r="H44" s="430" t="s">
        <v>120</v>
      </c>
      <c r="I44" s="431" t="s">
        <v>121</v>
      </c>
      <c r="J44" s="431" t="s">
        <v>122</v>
      </c>
      <c r="K44" s="372"/>
      <c r="L44" s="372" t="s">
        <v>188</v>
      </c>
      <c r="M44" s="410" t="str">
        <f>Gegevensblad!M45</f>
        <v>Prijs per eenheid (€)</v>
      </c>
      <c r="N44" s="385"/>
      <c r="O44" s="386"/>
    </row>
    <row r="45" spans="1:15" ht="22.5" x14ac:dyDescent="0.25">
      <c r="A45" s="440" t="s">
        <v>270</v>
      </c>
      <c r="B45" s="353" t="s">
        <v>271</v>
      </c>
      <c r="C45" s="353" t="s">
        <v>272</v>
      </c>
      <c r="D45" s="375" t="s">
        <v>194</v>
      </c>
      <c r="E45" s="375" t="s">
        <v>115</v>
      </c>
      <c r="F45" s="375" t="s">
        <v>115</v>
      </c>
      <c r="G45" s="375" t="s">
        <v>194</v>
      </c>
      <c r="H45" s="375" t="s">
        <v>194</v>
      </c>
      <c r="I45" s="375" t="s">
        <v>194</v>
      </c>
      <c r="J45" s="375" t="s">
        <v>194</v>
      </c>
      <c r="K45" s="403"/>
      <c r="L45" s="375" t="s">
        <v>217</v>
      </c>
      <c r="M45" s="403">
        <f>Gegevensblad!M46</f>
        <v>0</v>
      </c>
      <c r="N45" s="456">
        <f t="shared" ref="N45:N50" si="2">K45*M45</f>
        <v>0</v>
      </c>
      <c r="O45" s="377"/>
    </row>
    <row r="46" spans="1:15" ht="45" x14ac:dyDescent="0.25">
      <c r="A46" s="447" t="s">
        <v>156</v>
      </c>
      <c r="B46" s="354" t="s">
        <v>157</v>
      </c>
      <c r="C46" s="354" t="s">
        <v>317</v>
      </c>
      <c r="D46" s="380" t="s">
        <v>194</v>
      </c>
      <c r="E46" s="434" t="s">
        <v>203</v>
      </c>
      <c r="F46" s="434" t="s">
        <v>203</v>
      </c>
      <c r="G46" s="380" t="s">
        <v>203</v>
      </c>
      <c r="H46" s="380" t="s">
        <v>115</v>
      </c>
      <c r="I46" s="380" t="s">
        <v>115</v>
      </c>
      <c r="J46" s="380" t="s">
        <v>115</v>
      </c>
      <c r="K46" s="380">
        <f>'Invul- en verrekenblad'!C19*'Invul- en verrekenblad'!E19</f>
        <v>0</v>
      </c>
      <c r="L46" s="380" t="s">
        <v>217</v>
      </c>
      <c r="M46" s="464">
        <f>Gegevensblad!M47</f>
        <v>129.6367375124473</v>
      </c>
      <c r="N46" s="388">
        <f t="shared" si="2"/>
        <v>0</v>
      </c>
      <c r="O46" s="377"/>
    </row>
    <row r="47" spans="1:15" ht="33.75" x14ac:dyDescent="0.25">
      <c r="A47" s="447" t="s">
        <v>158</v>
      </c>
      <c r="B47" s="354" t="s">
        <v>159</v>
      </c>
      <c r="C47" s="354" t="s">
        <v>274</v>
      </c>
      <c r="D47" s="380" t="s">
        <v>194</v>
      </c>
      <c r="E47" s="380" t="s">
        <v>194</v>
      </c>
      <c r="F47" s="380" t="s">
        <v>194</v>
      </c>
      <c r="G47" s="380" t="s">
        <v>194</v>
      </c>
      <c r="H47" s="434" t="s">
        <v>203</v>
      </c>
      <c r="I47" s="380" t="s">
        <v>194</v>
      </c>
      <c r="J47" s="434" t="s">
        <v>203</v>
      </c>
      <c r="K47" s="404"/>
      <c r="L47" s="393" t="s">
        <v>235</v>
      </c>
      <c r="M47" s="421">
        <f>Gegevensblad!M48</f>
        <v>0</v>
      </c>
      <c r="N47" s="457">
        <f t="shared" si="2"/>
        <v>0</v>
      </c>
      <c r="O47" s="377"/>
    </row>
    <row r="48" spans="1:15" ht="22.5" x14ac:dyDescent="0.25">
      <c r="A48" s="447" t="s">
        <v>160</v>
      </c>
      <c r="B48" s="354" t="s">
        <v>275</v>
      </c>
      <c r="C48" s="354" t="s">
        <v>276</v>
      </c>
      <c r="D48" s="380" t="s">
        <v>194</v>
      </c>
      <c r="E48" s="434" t="s">
        <v>203</v>
      </c>
      <c r="F48" s="434" t="s">
        <v>203</v>
      </c>
      <c r="G48" s="434" t="s">
        <v>203</v>
      </c>
      <c r="H48" s="434" t="s">
        <v>203</v>
      </c>
      <c r="I48" s="434" t="s">
        <v>203</v>
      </c>
      <c r="J48" s="434" t="s">
        <v>203</v>
      </c>
      <c r="K48" s="380" t="b">
        <f>IF('Invul- en verrekenblad'!B19=1,IF(Variabelen!I28="ja",Variabelen!L28,0))</f>
        <v>0</v>
      </c>
      <c r="L48" s="380" t="s">
        <v>162</v>
      </c>
      <c r="M48" s="464">
        <f>Gegevensblad!M49</f>
        <v>5.0727419026609821</v>
      </c>
      <c r="N48" s="388">
        <f t="shared" si="2"/>
        <v>0</v>
      </c>
      <c r="O48" s="377"/>
    </row>
    <row r="49" spans="1:15" ht="22.5" x14ac:dyDescent="0.25">
      <c r="A49" s="447" t="s">
        <v>163</v>
      </c>
      <c r="B49" s="354" t="s">
        <v>164</v>
      </c>
      <c r="C49" s="354" t="s">
        <v>277</v>
      </c>
      <c r="D49" s="380" t="s">
        <v>194</v>
      </c>
      <c r="E49" s="434" t="s">
        <v>203</v>
      </c>
      <c r="F49" s="434" t="s">
        <v>203</v>
      </c>
      <c r="G49" s="434" t="s">
        <v>203</v>
      </c>
      <c r="H49" s="434" t="s">
        <v>203</v>
      </c>
      <c r="I49" s="434" t="s">
        <v>203</v>
      </c>
      <c r="J49" s="434" t="s">
        <v>203</v>
      </c>
      <c r="K49" s="380" t="b">
        <f>IF('Invul- en verrekenblad'!B19=1,IF(Variabelen!I29="ja",1,0))</f>
        <v>0</v>
      </c>
      <c r="L49" s="393" t="s">
        <v>235</v>
      </c>
      <c r="M49" s="420">
        <f>Variabelen!$L$29</f>
        <v>0</v>
      </c>
      <c r="N49" s="388">
        <f t="shared" si="2"/>
        <v>0</v>
      </c>
      <c r="O49" s="377"/>
    </row>
    <row r="50" spans="1:15" ht="12" thickBot="1" x14ac:dyDescent="0.3">
      <c r="A50" s="355" t="s">
        <v>278</v>
      </c>
      <c r="B50" s="356" t="s">
        <v>279</v>
      </c>
      <c r="C50" s="356" t="s">
        <v>280</v>
      </c>
      <c r="D50" s="357" t="s">
        <v>194</v>
      </c>
      <c r="E50" s="357" t="s">
        <v>115</v>
      </c>
      <c r="F50" s="357" t="s">
        <v>115</v>
      </c>
      <c r="G50" s="357" t="s">
        <v>115</v>
      </c>
      <c r="H50" s="357" t="s">
        <v>115</v>
      </c>
      <c r="I50" s="357" t="s">
        <v>115</v>
      </c>
      <c r="J50" s="357" t="s">
        <v>115</v>
      </c>
      <c r="K50" s="357">
        <f>'Invul- en verrekenblad'!E19</f>
        <v>0</v>
      </c>
      <c r="L50" s="357" t="s">
        <v>281</v>
      </c>
      <c r="M50" s="465">
        <f>Gegevensblad!M51</f>
        <v>38.9967033767063</v>
      </c>
      <c r="N50" s="391">
        <f t="shared" si="2"/>
        <v>0</v>
      </c>
      <c r="O50" s="377"/>
    </row>
    <row r="51" spans="1:15" ht="47.25" thickBot="1" x14ac:dyDescent="0.25">
      <c r="A51" s="427">
        <v>7</v>
      </c>
      <c r="B51" s="330" t="s">
        <v>165</v>
      </c>
      <c r="C51" s="327"/>
      <c r="D51" s="428" t="s">
        <v>313</v>
      </c>
      <c r="E51" s="429" t="s">
        <v>117</v>
      </c>
      <c r="F51" s="429" t="s">
        <v>118</v>
      </c>
      <c r="G51" s="430" t="s">
        <v>119</v>
      </c>
      <c r="H51" s="430" t="s">
        <v>120</v>
      </c>
      <c r="I51" s="431" t="s">
        <v>121</v>
      </c>
      <c r="J51" s="431" t="s">
        <v>122</v>
      </c>
      <c r="K51" s="372"/>
      <c r="L51" s="372" t="s">
        <v>188</v>
      </c>
      <c r="M51" s="410" t="str">
        <f>Gegevensblad!M52</f>
        <v>Prijs per eenheid (€)</v>
      </c>
      <c r="N51" s="385"/>
      <c r="O51" s="386"/>
    </row>
    <row r="52" spans="1:15" ht="78.75" x14ac:dyDescent="0.25">
      <c r="A52" s="440" t="s">
        <v>282</v>
      </c>
      <c r="B52" s="353" t="s">
        <v>283</v>
      </c>
      <c r="C52" s="353" t="s">
        <v>284</v>
      </c>
      <c r="D52" s="375" t="s">
        <v>194</v>
      </c>
      <c r="E52" s="375" t="s">
        <v>115</v>
      </c>
      <c r="F52" s="375" t="s">
        <v>115</v>
      </c>
      <c r="G52" s="375" t="s">
        <v>115</v>
      </c>
      <c r="H52" s="375" t="s">
        <v>115</v>
      </c>
      <c r="I52" s="375" t="s">
        <v>115</v>
      </c>
      <c r="J52" s="375" t="s">
        <v>115</v>
      </c>
      <c r="K52" s="375">
        <f>'Invul- en verrekenblad'!C19*'Invul- en verrekenblad'!D19</f>
        <v>0</v>
      </c>
      <c r="L52" s="375" t="s">
        <v>217</v>
      </c>
      <c r="M52" s="466">
        <f>Gegevensblad!M53</f>
        <v>15.218225707982945</v>
      </c>
      <c r="N52" s="387">
        <f>K52*M52</f>
        <v>0</v>
      </c>
      <c r="O52" s="377"/>
    </row>
    <row r="53" spans="1:15" ht="56.25" x14ac:dyDescent="0.25">
      <c r="A53" s="447" t="s">
        <v>166</v>
      </c>
      <c r="B53" s="354" t="s">
        <v>167</v>
      </c>
      <c r="C53" s="354" t="s">
        <v>319</v>
      </c>
      <c r="D53" s="380" t="s">
        <v>194</v>
      </c>
      <c r="E53" s="434" t="s">
        <v>203</v>
      </c>
      <c r="F53" s="380" t="s">
        <v>115</v>
      </c>
      <c r="G53" s="434" t="s">
        <v>203</v>
      </c>
      <c r="H53" s="380" t="s">
        <v>115</v>
      </c>
      <c r="I53" s="434" t="s">
        <v>203</v>
      </c>
      <c r="J53" s="380" t="s">
        <v>115</v>
      </c>
      <c r="K53" s="380" t="b">
        <f>IF('Invul- en verrekenblad'!B19=1,IF(Variabelen!I31="ja",'Invul- en verrekenblad'!C19*'Invul- en verrekenblad'!D19,0))</f>
        <v>0</v>
      </c>
      <c r="L53" s="380" t="s">
        <v>217</v>
      </c>
      <c r="M53" s="464">
        <f>Gegevensblad!M54</f>
        <v>18.036415653905713</v>
      </c>
      <c r="N53" s="388">
        <f>K53*M53</f>
        <v>0</v>
      </c>
      <c r="O53" s="377"/>
    </row>
    <row r="54" spans="1:15" ht="45" x14ac:dyDescent="0.25">
      <c r="A54" s="447" t="s">
        <v>168</v>
      </c>
      <c r="B54" s="354" t="s">
        <v>169</v>
      </c>
      <c r="C54" s="354" t="s">
        <v>320</v>
      </c>
      <c r="D54" s="380" t="s">
        <v>194</v>
      </c>
      <c r="E54" s="434" t="s">
        <v>203</v>
      </c>
      <c r="F54" s="434" t="s">
        <v>203</v>
      </c>
      <c r="G54" s="434" t="s">
        <v>203</v>
      </c>
      <c r="H54" s="434" t="s">
        <v>203</v>
      </c>
      <c r="I54" s="434" t="s">
        <v>203</v>
      </c>
      <c r="J54" s="434" t="s">
        <v>203</v>
      </c>
      <c r="K54" s="380" t="b">
        <f>IF('Invul- en verrekenblad'!B19=1,IF(Variabelen!I32="ja",1,0))</f>
        <v>0</v>
      </c>
      <c r="L54" s="393" t="s">
        <v>235</v>
      </c>
      <c r="M54" s="420">
        <f>Variabelen!$L$32</f>
        <v>0</v>
      </c>
      <c r="N54" s="388">
        <f>K54*M54</f>
        <v>0</v>
      </c>
      <c r="O54" s="377"/>
    </row>
    <row r="55" spans="1:15" ht="23.25" thickBot="1" x14ac:dyDescent="0.3">
      <c r="A55" s="444" t="s">
        <v>170</v>
      </c>
      <c r="B55" s="356" t="s">
        <v>171</v>
      </c>
      <c r="C55" s="356" t="s">
        <v>287</v>
      </c>
      <c r="D55" s="357" t="s">
        <v>194</v>
      </c>
      <c r="E55" s="357" t="s">
        <v>194</v>
      </c>
      <c r="F55" s="357" t="s">
        <v>194</v>
      </c>
      <c r="G55" s="357" t="s">
        <v>194</v>
      </c>
      <c r="H55" s="357" t="s">
        <v>194</v>
      </c>
      <c r="I55" s="357" t="s">
        <v>194</v>
      </c>
      <c r="J55" s="445" t="s">
        <v>203</v>
      </c>
      <c r="K55" s="405"/>
      <c r="L55" s="390" t="s">
        <v>235</v>
      </c>
      <c r="M55" s="418">
        <f>Gegevensblad!M56</f>
        <v>0</v>
      </c>
      <c r="N55" s="455">
        <f>K55*M55</f>
        <v>0</v>
      </c>
      <c r="O55" s="377"/>
    </row>
    <row r="56" spans="1:15" ht="47.25" thickBot="1" x14ac:dyDescent="0.3">
      <c r="A56" s="427">
        <v>8</v>
      </c>
      <c r="B56" s="330" t="s">
        <v>288</v>
      </c>
      <c r="C56" s="330"/>
      <c r="D56" s="428" t="s">
        <v>313</v>
      </c>
      <c r="E56" s="429" t="s">
        <v>117</v>
      </c>
      <c r="F56" s="429" t="s">
        <v>118</v>
      </c>
      <c r="G56" s="430" t="s">
        <v>119</v>
      </c>
      <c r="H56" s="430" t="s">
        <v>120</v>
      </c>
      <c r="I56" s="431" t="s">
        <v>121</v>
      </c>
      <c r="J56" s="431" t="s">
        <v>122</v>
      </c>
      <c r="K56" s="372"/>
      <c r="L56" s="372" t="s">
        <v>188</v>
      </c>
      <c r="M56" s="410" t="str">
        <f>Gegevensblad!M57</f>
        <v>Prijs per eenheid (€)</v>
      </c>
      <c r="N56" s="385"/>
      <c r="O56" s="386"/>
    </row>
    <row r="57" spans="1:15" ht="56.25" x14ac:dyDescent="0.25">
      <c r="A57" s="440" t="s">
        <v>289</v>
      </c>
      <c r="B57" s="353" t="s">
        <v>290</v>
      </c>
      <c r="C57" s="353" t="s">
        <v>321</v>
      </c>
      <c r="D57" s="375" t="s">
        <v>115</v>
      </c>
      <c r="E57" s="375" t="s">
        <v>194</v>
      </c>
      <c r="F57" s="375" t="s">
        <v>194</v>
      </c>
      <c r="G57" s="375" t="s">
        <v>194</v>
      </c>
      <c r="H57" s="375" t="s">
        <v>194</v>
      </c>
      <c r="I57" s="375" t="s">
        <v>194</v>
      </c>
      <c r="J57" s="375" t="s">
        <v>194</v>
      </c>
      <c r="K57" s="403"/>
      <c r="L57" s="375" t="s">
        <v>292</v>
      </c>
      <c r="M57" s="466">
        <f>Gegevensblad!M58</f>
        <v>111.44175191793592</v>
      </c>
      <c r="N57" s="456">
        <f t="shared" ref="N57:N63" si="3">K57*M57</f>
        <v>0</v>
      </c>
      <c r="O57" s="377"/>
    </row>
    <row r="58" spans="1:15" ht="22.5" x14ac:dyDescent="0.25">
      <c r="A58" s="442" t="s">
        <v>293</v>
      </c>
      <c r="B58" s="354" t="s">
        <v>294</v>
      </c>
      <c r="C58" s="354" t="s">
        <v>295</v>
      </c>
      <c r="D58" s="434" t="s">
        <v>115</v>
      </c>
      <c r="E58" s="434" t="s">
        <v>115</v>
      </c>
      <c r="F58" s="434" t="s">
        <v>115</v>
      </c>
      <c r="G58" s="434" t="s">
        <v>115</v>
      </c>
      <c r="H58" s="434" t="s">
        <v>115</v>
      </c>
      <c r="I58" s="434" t="s">
        <v>115</v>
      </c>
      <c r="J58" s="434" t="s">
        <v>115</v>
      </c>
      <c r="K58" s="380" t="b">
        <f>IF(('Invul- en verrekenblad'!B20)&gt;0,0,IF('Invul- en verrekenblad'!B6="ja",IF('Invul- en verrekenblad'!B19=1,1,0)))</f>
        <v>0</v>
      </c>
      <c r="L58" s="380" t="s">
        <v>292</v>
      </c>
      <c r="M58" s="464">
        <f>Gegevensblad!M59</f>
        <v>696.51094948709942</v>
      </c>
      <c r="N58" s="388">
        <f>IF('Invul- en verrekenblad'!B14=1,0,K58*M58)</f>
        <v>0</v>
      </c>
      <c r="O58" s="377"/>
    </row>
    <row r="59" spans="1:15" ht="45" x14ac:dyDescent="0.25">
      <c r="A59" s="447" t="s">
        <v>173</v>
      </c>
      <c r="B59" s="354" t="s">
        <v>174</v>
      </c>
      <c r="C59" s="354" t="s">
        <v>296</v>
      </c>
      <c r="D59" s="434" t="s">
        <v>203</v>
      </c>
      <c r="E59" s="434" t="s">
        <v>203</v>
      </c>
      <c r="F59" s="434" t="s">
        <v>203</v>
      </c>
      <c r="G59" s="434" t="s">
        <v>203</v>
      </c>
      <c r="H59" s="434" t="s">
        <v>203</v>
      </c>
      <c r="I59" s="434" t="s">
        <v>203</v>
      </c>
      <c r="J59" s="434" t="s">
        <v>203</v>
      </c>
      <c r="K59" s="380" t="b">
        <f>IF('Invul- en verrekenblad'!B19=1,IF('Invul- en verrekenblad'!B6="ja",IF(Variabelen!I35="ja",1,0)))</f>
        <v>0</v>
      </c>
      <c r="L59" s="393" t="s">
        <v>235</v>
      </c>
      <c r="M59" s="420">
        <f>Variabelen!$L$35</f>
        <v>0</v>
      </c>
      <c r="N59" s="388">
        <f t="shared" si="3"/>
        <v>0</v>
      </c>
      <c r="O59" s="377"/>
    </row>
    <row r="60" spans="1:15" ht="45" x14ac:dyDescent="0.25">
      <c r="A60" s="447" t="s">
        <v>175</v>
      </c>
      <c r="B60" s="354" t="s">
        <v>176</v>
      </c>
      <c r="C60" s="354" t="s">
        <v>296</v>
      </c>
      <c r="D60" s="434" t="s">
        <v>203</v>
      </c>
      <c r="E60" s="434" t="s">
        <v>203</v>
      </c>
      <c r="F60" s="434" t="s">
        <v>203</v>
      </c>
      <c r="G60" s="434" t="s">
        <v>203</v>
      </c>
      <c r="H60" s="434" t="s">
        <v>203</v>
      </c>
      <c r="I60" s="434" t="s">
        <v>203</v>
      </c>
      <c r="J60" s="434" t="s">
        <v>203</v>
      </c>
      <c r="K60" s="380" t="b">
        <f>IF('Invul- en verrekenblad'!B19=1,IF('Invul- en verrekenblad'!B6="ja",IF(Variabelen!I36="ja",1,0)))</f>
        <v>0</v>
      </c>
      <c r="L60" s="393" t="s">
        <v>235</v>
      </c>
      <c r="M60" s="420">
        <f>Variabelen!$L$36</f>
        <v>0</v>
      </c>
      <c r="N60" s="388">
        <f t="shared" si="3"/>
        <v>0</v>
      </c>
      <c r="O60" s="377"/>
    </row>
    <row r="61" spans="1:15" ht="33.75" x14ac:dyDescent="0.25">
      <c r="A61" s="447" t="s">
        <v>177</v>
      </c>
      <c r="B61" s="354" t="s">
        <v>297</v>
      </c>
      <c r="C61" s="354" t="s">
        <v>298</v>
      </c>
      <c r="D61" s="434" t="s">
        <v>203</v>
      </c>
      <c r="E61" s="434" t="s">
        <v>203</v>
      </c>
      <c r="F61" s="434" t="s">
        <v>203</v>
      </c>
      <c r="G61" s="434" t="s">
        <v>203</v>
      </c>
      <c r="H61" s="434" t="s">
        <v>203</v>
      </c>
      <c r="I61" s="434" t="s">
        <v>203</v>
      </c>
      <c r="J61" s="434" t="s">
        <v>203</v>
      </c>
      <c r="K61" s="380" t="b">
        <f>IF('Invul- en verrekenblad'!B19=1,IF('Invul- en verrekenblad'!B6="ja",IF(Variabelen!I37="ja",1,0)))</f>
        <v>0</v>
      </c>
      <c r="L61" s="380" t="s">
        <v>292</v>
      </c>
      <c r="M61" s="464">
        <f>Gegevensblad!M62</f>
        <v>55.720875958967959</v>
      </c>
      <c r="N61" s="388">
        <f t="shared" si="3"/>
        <v>0</v>
      </c>
      <c r="O61" s="377"/>
    </row>
    <row r="62" spans="1:15" ht="33.75" x14ac:dyDescent="0.25">
      <c r="A62" s="447" t="s">
        <v>179</v>
      </c>
      <c r="B62" s="354" t="s">
        <v>299</v>
      </c>
      <c r="C62" s="354" t="s">
        <v>300</v>
      </c>
      <c r="D62" s="434" t="s">
        <v>203</v>
      </c>
      <c r="E62" s="434" t="s">
        <v>203</v>
      </c>
      <c r="F62" s="434" t="s">
        <v>203</v>
      </c>
      <c r="G62" s="434" t="s">
        <v>203</v>
      </c>
      <c r="H62" s="434" t="s">
        <v>203</v>
      </c>
      <c r="I62" s="434" t="s">
        <v>203</v>
      </c>
      <c r="J62" s="434" t="s">
        <v>203</v>
      </c>
      <c r="K62" s="380" t="b">
        <f>IF('Invul- en verrekenblad'!B19=1,IF('Invul- en verrekenblad'!B6="ja",IF(Variabelen!I38="ja",1,0)))</f>
        <v>0</v>
      </c>
      <c r="L62" s="380" t="s">
        <v>292</v>
      </c>
      <c r="M62" s="464">
        <f>Gegevensblad!M63</f>
        <v>111.44175191793592</v>
      </c>
      <c r="N62" s="388">
        <f t="shared" si="3"/>
        <v>0</v>
      </c>
      <c r="O62" s="377"/>
    </row>
    <row r="63" spans="1:15" ht="23.25" thickBot="1" x14ac:dyDescent="0.3">
      <c r="A63" s="444" t="s">
        <v>181</v>
      </c>
      <c r="B63" s="356" t="s">
        <v>301</v>
      </c>
      <c r="C63" s="356" t="s">
        <v>302</v>
      </c>
      <c r="D63" s="445" t="s">
        <v>203</v>
      </c>
      <c r="E63" s="357" t="s">
        <v>194</v>
      </c>
      <c r="F63" s="357" t="s">
        <v>194</v>
      </c>
      <c r="G63" s="357" t="s">
        <v>194</v>
      </c>
      <c r="H63" s="357" t="s">
        <v>194</v>
      </c>
      <c r="I63" s="357" t="s">
        <v>194</v>
      </c>
      <c r="J63" s="357" t="s">
        <v>194</v>
      </c>
      <c r="K63" s="405"/>
      <c r="L63" s="357" t="s">
        <v>217</v>
      </c>
      <c r="M63" s="465">
        <f>Gegevensblad!M64</f>
        <v>428.10847288998912</v>
      </c>
      <c r="N63" s="455">
        <f t="shared" si="3"/>
        <v>0</v>
      </c>
      <c r="O63" s="377"/>
    </row>
    <row r="64" spans="1:15" ht="47.25" thickBot="1" x14ac:dyDescent="0.25">
      <c r="A64" s="427">
        <v>9</v>
      </c>
      <c r="B64" s="330" t="s">
        <v>304</v>
      </c>
      <c r="C64" s="327"/>
      <c r="D64" s="428" t="s">
        <v>313</v>
      </c>
      <c r="E64" s="429" t="s">
        <v>117</v>
      </c>
      <c r="F64" s="429" t="s">
        <v>118</v>
      </c>
      <c r="G64" s="430" t="s">
        <v>119</v>
      </c>
      <c r="H64" s="430" t="s">
        <v>120</v>
      </c>
      <c r="I64" s="431" t="s">
        <v>121</v>
      </c>
      <c r="J64" s="431" t="s">
        <v>122</v>
      </c>
      <c r="K64" s="372"/>
      <c r="L64" s="372" t="s">
        <v>188</v>
      </c>
      <c r="M64" s="410" t="str">
        <f>Gegevensblad!M65</f>
        <v>Prijs per eenheid (€)</v>
      </c>
      <c r="N64" s="385"/>
      <c r="O64" s="386"/>
    </row>
    <row r="65" spans="1:15" ht="45" x14ac:dyDescent="0.25">
      <c r="A65" s="440" t="s">
        <v>305</v>
      </c>
      <c r="B65" s="353" t="s">
        <v>306</v>
      </c>
      <c r="C65" s="353" t="s">
        <v>307</v>
      </c>
      <c r="D65" s="375" t="s">
        <v>194</v>
      </c>
      <c r="E65" s="375" t="s">
        <v>194</v>
      </c>
      <c r="F65" s="375" t="s">
        <v>194</v>
      </c>
      <c r="G65" s="375" t="s">
        <v>115</v>
      </c>
      <c r="H65" s="375" t="s">
        <v>115</v>
      </c>
      <c r="I65" s="375" t="s">
        <v>115</v>
      </c>
      <c r="J65" s="375" t="s">
        <v>115</v>
      </c>
      <c r="K65" s="380">
        <f>('Invul- en verrekenblad'!D19+'Invul- en verrekenblad'!E19)*'Invul- en verrekenblad'!C19</f>
        <v>0</v>
      </c>
      <c r="L65" s="463" t="s">
        <v>308</v>
      </c>
      <c r="M65" s="466">
        <f>Gegevensblad!M66</f>
        <v>50.727419026609816</v>
      </c>
      <c r="N65" s="387">
        <f>K65*M65</f>
        <v>0</v>
      </c>
      <c r="O65" s="377"/>
    </row>
    <row r="66" spans="1:15" ht="45.75" thickBot="1" x14ac:dyDescent="0.3">
      <c r="A66" s="469" t="s">
        <v>309</v>
      </c>
      <c r="B66" s="470" t="s">
        <v>310</v>
      </c>
      <c r="C66" s="470" t="s">
        <v>311</v>
      </c>
      <c r="D66" s="450" t="s">
        <v>194</v>
      </c>
      <c r="E66" s="450" t="s">
        <v>115</v>
      </c>
      <c r="F66" s="450" t="s">
        <v>115</v>
      </c>
      <c r="G66" s="450" t="s">
        <v>115</v>
      </c>
      <c r="H66" s="450" t="s">
        <v>115</v>
      </c>
      <c r="I66" s="450" t="s">
        <v>115</v>
      </c>
      <c r="J66" s="450" t="s">
        <v>115</v>
      </c>
      <c r="K66" s="450">
        <f>'Invul- en verrekenblad'!C19*('Invul- en verrekenblad'!D19+'Invul- en verrekenblad'!E19)</f>
        <v>0</v>
      </c>
      <c r="L66" s="451" t="s">
        <v>308</v>
      </c>
      <c r="M66" s="467">
        <f>Gegevensblad!M67</f>
        <v>108.36954890453575</v>
      </c>
      <c r="N66" s="398">
        <f>K66*M66</f>
        <v>0</v>
      </c>
    </row>
    <row r="67" spans="1:15" ht="15.75" x14ac:dyDescent="0.25">
      <c r="D67" s="454" t="s">
        <v>115</v>
      </c>
      <c r="E67" s="454" t="s">
        <v>115</v>
      </c>
      <c r="F67" s="454" t="s">
        <v>115</v>
      </c>
      <c r="G67" s="454" t="s">
        <v>115</v>
      </c>
      <c r="H67" s="454" t="s">
        <v>115</v>
      </c>
      <c r="I67" s="454" t="s">
        <v>115</v>
      </c>
      <c r="J67" s="454" t="s">
        <v>115</v>
      </c>
      <c r="N67" s="402">
        <f>SUBTOTAL(9,N10:N66)</f>
        <v>0</v>
      </c>
    </row>
    <row r="70" spans="1:15" ht="10.15" customHeight="1" x14ac:dyDescent="0.25"/>
  </sheetData>
  <sheetProtection algorithmName="SHA-512" hashValue="voqOaJ8VMmAz1pwcPJm0gu2zYsj/RFC03JnJGmMdrMbmnB6Ql+D95I9+JbNQP6UilAsEmiL/Ckl1h/8ld54Upw==" saltValue="KI4hv8WgdUyE7LkWqt2vtw==" spinCount="100000" sheet="1" selectLockedCells="1"/>
  <autoFilter ref="A8:N8" xr:uid="{00000000-0001-0000-0800-000000000000}">
    <filterColumn colId="3" showButton="0"/>
    <filterColumn colId="4" showButton="0"/>
    <filterColumn colId="5" showButton="0"/>
    <filterColumn colId="6" showButton="0"/>
    <filterColumn colId="7" showButton="0"/>
    <filterColumn colId="8" showButton="0"/>
    <filterColumn colId="11" showButton="0"/>
  </autoFilter>
  <mergeCells count="3">
    <mergeCell ref="D8:J8"/>
    <mergeCell ref="L8:M8"/>
    <mergeCell ref="B34:C34"/>
  </mergeCells>
  <conditionalFormatting sqref="D16:D18 E16:J66">
    <cfRule type="containsText" dxfId="35" priority="25" operator="containsText" text="nee">
      <formula>NOT(ISERROR(SEARCH("nee",D16)))</formula>
    </cfRule>
    <cfRule type="containsText" dxfId="34" priority="26" operator="containsText" text="optie">
      <formula>NOT(ISERROR(SEARCH("optie",D16)))</formula>
    </cfRule>
    <cfRule type="containsText" dxfId="33" priority="27" operator="containsText" text="ja">
      <formula>NOT(ISERROR(SEARCH("ja",D16)))</formula>
    </cfRule>
  </conditionalFormatting>
  <conditionalFormatting sqref="D20:D26 D28:D29 D31:D33 D52:D55 D57:D63 D65:D66">
    <cfRule type="containsText" dxfId="32" priority="28" operator="containsText" text="nee">
      <formula>NOT(ISERROR(SEARCH("nee",D20)))</formula>
    </cfRule>
    <cfRule type="containsText" dxfId="31" priority="29" operator="containsText" text="optie">
      <formula>NOT(ISERROR(SEARCH("optie",D20)))</formula>
    </cfRule>
    <cfRule type="containsText" dxfId="30" priority="30" operator="containsText" text="ja">
      <formula>NOT(ISERROR(SEARCH("ja",D20)))</formula>
    </cfRule>
  </conditionalFormatting>
  <conditionalFormatting sqref="D35:D43">
    <cfRule type="containsText" dxfId="29" priority="16" operator="containsText" text="nee">
      <formula>NOT(ISERROR(SEARCH("nee",D35)))</formula>
    </cfRule>
    <cfRule type="containsText" dxfId="28" priority="17" operator="containsText" text="optie">
      <formula>NOT(ISERROR(SEARCH("optie",D35)))</formula>
    </cfRule>
    <cfRule type="containsText" dxfId="27" priority="18" operator="containsText" text="ja">
      <formula>NOT(ISERROR(SEARCH("ja",D35)))</formula>
    </cfRule>
  </conditionalFormatting>
  <conditionalFormatting sqref="D45:D50">
    <cfRule type="containsText" dxfId="26" priority="10" operator="containsText" text="nee">
      <formula>NOT(ISERROR(SEARCH("nee",D45)))</formula>
    </cfRule>
    <cfRule type="containsText" dxfId="25" priority="11" operator="containsText" text="optie">
      <formula>NOT(ISERROR(SEARCH("optie",D45)))</formula>
    </cfRule>
    <cfRule type="containsText" dxfId="24" priority="12" operator="containsText" text="ja">
      <formula>NOT(ISERROR(SEARCH("ja",D45)))</formula>
    </cfRule>
  </conditionalFormatting>
  <conditionalFormatting sqref="D10:J15">
    <cfRule type="containsText" dxfId="23" priority="1" operator="containsText" text="nee">
      <formula>NOT(ISERROR(SEARCH("nee",D10)))</formula>
    </cfRule>
    <cfRule type="containsText" dxfId="22" priority="2" operator="containsText" text="optie">
      <formula>NOT(ISERROR(SEARCH("optie",D10)))</formula>
    </cfRule>
    <cfRule type="containsText" dxfId="21" priority="3" operator="containsText" text="ja">
      <formula>NOT(ISERROR(SEARCH("ja",D10)))</formula>
    </cfRule>
  </conditionalFormatting>
  <pageMargins left="0.25" right="0.25" top="0.75" bottom="0.75" header="0.3" footer="0.3"/>
  <pageSetup paperSize="8"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ee70fca-cb57-41ae-a2e1-ce96829e9f60">
      <Terms xmlns="http://schemas.microsoft.com/office/infopath/2007/PartnerControls"/>
    </lcf76f155ced4ddcb4097134ff3c332f>
    <TaxCatchAll xmlns="9271b1d1-b612-447e-93de-d287d951c771" xsi:nil="true"/>
    <_dlc_DocId xmlns="7543b116-a25f-4b42-b98c-7689b0fc36fe">4PYKPJNCQAPC-721553931-220</_dlc_DocId>
    <_dlc_DocIdUrl xmlns="7543b116-a25f-4b42-b98c-7689b0fc36fe">
      <Url>https://alliander.sharepoint.com/teams/OmgevingswetImplementatie/_layouts/15/DocIdRedir.aspx?ID=4PYKPJNCQAPC-721553931-220</Url>
      <Description>4PYKPJNCQAPC-721553931-220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80695A26C5ED4438813D452DF1569B1" ma:contentTypeVersion="15" ma:contentTypeDescription="Een nieuw document maken." ma:contentTypeScope="" ma:versionID="113cd783218db77385d9857deb9ef3f2">
  <xsd:schema xmlns:xsd="http://www.w3.org/2001/XMLSchema" xmlns:xs="http://www.w3.org/2001/XMLSchema" xmlns:p="http://schemas.microsoft.com/office/2006/metadata/properties" xmlns:ns2="7543b116-a25f-4b42-b98c-7689b0fc36fe" xmlns:ns3="bee70fca-cb57-41ae-a2e1-ce96829e9f60" xmlns:ns4="9271b1d1-b612-447e-93de-d287d951c771" targetNamespace="http://schemas.microsoft.com/office/2006/metadata/properties" ma:root="true" ma:fieldsID="a67abc7e2e207e3a35bddfaeee9b7ae6" ns2:_="" ns3:_="" ns4:_="">
    <xsd:import namespace="7543b116-a25f-4b42-b98c-7689b0fc36fe"/>
    <xsd:import namespace="bee70fca-cb57-41ae-a2e1-ce96829e9f60"/>
    <xsd:import namespace="9271b1d1-b612-447e-93de-d287d951c77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LengthInSeconds" minOccurs="0"/>
                <xsd:element ref="ns2:SharedWithUsers" minOccurs="0"/>
                <xsd:element ref="ns2:SharedWithDetails" minOccurs="0"/>
                <xsd:element ref="ns3:lcf76f155ced4ddcb4097134ff3c332f" minOccurs="0"/>
                <xsd:element ref="ns4:TaxCatchAll" minOccurs="0"/>
                <xsd:element ref="ns3:MediaServiceObjectDetectorVersion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43b116-a25f-4b42-b98c-7689b0fc36f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ee70fca-cb57-41ae-a2e1-ce96829e9f6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c08a313f-cbb5-4c95-83f8-00328ca083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71b1d1-b612-447e-93de-d287d951c77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202d760-18ba-4b31-826a-21926231e2b8}" ma:internalName="TaxCatchAll" ma:showField="CatchAllData" ma:web="7543b116-a25f-4b42-b98c-7689b0fc36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DE6AAE9-C584-44F1-9A4E-E72C3555C4F5}">
  <ds:schemaRefs>
    <ds:schemaRef ds:uri="http://schemas.microsoft.com/office/2006/metadata/properties"/>
    <ds:schemaRef ds:uri="http://schemas.microsoft.com/office/infopath/2007/PartnerControls"/>
    <ds:schemaRef ds:uri="bee70fca-cb57-41ae-a2e1-ce96829e9f60"/>
    <ds:schemaRef ds:uri="9271b1d1-b612-447e-93de-d287d951c771"/>
    <ds:schemaRef ds:uri="7543b116-a25f-4b42-b98c-7689b0fc36fe"/>
  </ds:schemaRefs>
</ds:datastoreItem>
</file>

<file path=customXml/itemProps2.xml><?xml version="1.0" encoding="utf-8"?>
<ds:datastoreItem xmlns:ds="http://schemas.openxmlformats.org/officeDocument/2006/customXml" ds:itemID="{6028A46C-CA71-4944-ACBA-904D7D3CB5A3}">
  <ds:schemaRefs>
    <ds:schemaRef ds:uri="http://schemas.microsoft.com/sharepoint/v3/contenttype/forms"/>
  </ds:schemaRefs>
</ds:datastoreItem>
</file>

<file path=customXml/itemProps3.xml><?xml version="1.0" encoding="utf-8"?>
<ds:datastoreItem xmlns:ds="http://schemas.openxmlformats.org/officeDocument/2006/customXml" ds:itemID="{DA39A8E3-7D8E-4217-8B48-F6F5A47D19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43b116-a25f-4b42-b98c-7689b0fc36fe"/>
    <ds:schemaRef ds:uri="bee70fca-cb57-41ae-a2e1-ce96829e9f60"/>
    <ds:schemaRef ds:uri="9271b1d1-b612-447e-93de-d287d951c7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C18C7B0-5117-476C-925A-480E9DB84C82}">
  <ds:schemaRefs>
    <ds:schemaRef ds:uri="http://schemas.microsoft.com/sharepoint/events"/>
  </ds:schemaRefs>
</ds:datastoreItem>
</file>

<file path=docMetadata/LabelInfo.xml><?xml version="1.0" encoding="utf-8"?>
<clbl:labelList xmlns:clbl="http://schemas.microsoft.com/office/2020/mipLabelMetadata">
  <clbl:label id="{697f104b-d7cb-48c8-ac9f-bd87105bafdc}" enabled="0" method="" siteId="{697f104b-d7cb-48c8-ac9f-bd87105bafd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4</vt:i4>
      </vt:variant>
    </vt:vector>
  </HeadingPairs>
  <TitlesOfParts>
    <vt:vector size="17" baseType="lpstr">
      <vt:lpstr>Handleiding</vt:lpstr>
      <vt:lpstr>Invul- en verrekenblad</vt:lpstr>
      <vt:lpstr>Variabelen</vt:lpstr>
      <vt:lpstr>Alleen MBA Graven TU</vt:lpstr>
      <vt:lpstr>Oranje N-VL</vt:lpstr>
      <vt:lpstr>Oranje VL</vt:lpstr>
      <vt:lpstr>Rood N-VL</vt:lpstr>
      <vt:lpstr>Rood VL</vt:lpstr>
      <vt:lpstr>Zwart N-VL</vt:lpstr>
      <vt:lpstr>Zwart VL</vt:lpstr>
      <vt:lpstr>Gegevensblad</vt:lpstr>
      <vt:lpstr>Revisiebeheer</vt:lpstr>
      <vt:lpstr>Kostenverdeling combi</vt:lpstr>
      <vt:lpstr>'Invul- en verrekenblad'!Afdrukbereik</vt:lpstr>
      <vt:lpstr>'Kostenverdeling combi'!Afdrukbereik</vt:lpstr>
      <vt:lpstr>'Invul- en verrekenblad'!PR_NAME_TEXT</vt:lpstr>
      <vt:lpstr>'Invul- en verrekenblad'!PS_SUBJECT</vt:lpstr>
    </vt:vector>
  </TitlesOfParts>
  <Manager/>
  <Company>MWH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Gerrit Kersten</dc:creator>
  <cp:keywords/>
  <dc:description/>
  <cp:lastModifiedBy>Sahar Malakouti</cp:lastModifiedBy>
  <cp:revision/>
  <dcterms:created xsi:type="dcterms:W3CDTF">2014-06-26T13:01:18Z</dcterms:created>
  <dcterms:modified xsi:type="dcterms:W3CDTF">2026-04-14T11:53:58Z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0x010100980695A26C5ED4438813D452DF1569B1</vt:lpwstr>
  </property>
  <property fmtid="{D5CDD505-2E9C-101B-9397-08002B2CF9AE}" pid="3" name="_dlc_DocIdItemGuid">
    <vt:lpwstr>cd4427ee-4150-4850-b985-734887a9fb8a</vt:lpwstr>
  </property>
  <property fmtid="{D5CDD505-2E9C-101B-9397-08002B2CF9AE}" pid="4" name="MediaServiceImageTags">
    <vt:lpwstr/>
  </property>
</Properties>
</file>